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</definedNames>
  <calcPr calcId="145621"/>
</workbook>
</file>

<file path=xl/calcChain.xml><?xml version="1.0" encoding="utf-8"?>
<calcChain xmlns="http://schemas.openxmlformats.org/spreadsheetml/2006/main">
  <c r="GL33" i="4" l="1"/>
  <c r="G11" i="1" l="1"/>
  <c r="C24" i="2" l="1"/>
  <c r="C23" i="2"/>
  <c r="C22" i="2"/>
  <c r="C20" i="2"/>
  <c r="C19" i="2"/>
  <c r="C18" i="2"/>
  <c r="C16" i="2"/>
  <c r="C15" i="2"/>
  <c r="C14" i="2"/>
  <c r="C12" i="2"/>
  <c r="C11" i="2"/>
  <c r="C10" i="2"/>
  <c r="C8" i="2"/>
  <c r="C7" i="2"/>
  <c r="H29" i="1"/>
  <c r="C25" i="2" s="1"/>
  <c r="H28" i="1"/>
  <c r="H27" i="1"/>
  <c r="H26" i="1"/>
  <c r="H25" i="1"/>
  <c r="C21" i="2" s="1"/>
  <c r="H24" i="1"/>
  <c r="H23" i="1"/>
  <c r="H22" i="1"/>
  <c r="H21" i="1"/>
  <c r="C17" i="2" s="1"/>
  <c r="H20" i="1"/>
  <c r="H19" i="1"/>
  <c r="H18" i="1"/>
  <c r="H17" i="1"/>
  <c r="C13" i="2" s="1"/>
  <c r="H16" i="1"/>
  <c r="H15" i="1"/>
  <c r="H14" i="1"/>
  <c r="H13" i="1"/>
  <c r="C9" i="2" s="1"/>
  <c r="H12" i="1"/>
  <c r="H11" i="1"/>
  <c r="G17" i="1"/>
  <c r="G25" i="2" l="1"/>
  <c r="I27" i="4" s="1"/>
  <c r="G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G18" i="2" s="1"/>
  <c r="I20" i="4" s="1"/>
  <c r="D8" i="2"/>
  <c r="G8" i="2" s="1"/>
  <c r="I10" i="4" s="1"/>
  <c r="D11" i="2"/>
  <c r="G11" i="2" s="1"/>
  <c r="I13" i="4" s="1"/>
  <c r="D19" i="2"/>
  <c r="G19" i="2" s="1"/>
  <c r="I21" i="4" s="1"/>
  <c r="D23" i="2"/>
  <c r="G23" i="2" s="1"/>
  <c r="I25" i="4" s="1"/>
  <c r="D9" i="2"/>
  <c r="D20" i="2"/>
  <c r="G20" i="2" s="1"/>
  <c r="I22" i="4" s="1"/>
  <c r="D16" i="2"/>
  <c r="G16" i="2" s="1"/>
  <c r="I18" i="4" s="1"/>
  <c r="D14" i="2"/>
  <c r="D22" i="2"/>
  <c r="D17" i="2"/>
  <c r="G17" i="2" s="1"/>
  <c r="I19" i="4" s="1"/>
  <c r="D7" i="2"/>
  <c r="G7" i="2" s="1"/>
  <c r="D15" i="2"/>
  <c r="G15" i="2" s="1"/>
  <c r="I17" i="4" s="1"/>
  <c r="D12" i="2"/>
  <c r="G12" i="2" s="1"/>
  <c r="I14" i="4" s="1"/>
  <c r="D13" i="2"/>
  <c r="G13" i="2" s="1"/>
  <c r="I15" i="4" s="1"/>
  <c r="G10" i="2"/>
  <c r="I12" i="4" s="1"/>
  <c r="G14" i="2"/>
  <c r="I16" i="4" s="1"/>
  <c r="G22" i="2"/>
  <c r="I24" i="4" s="1"/>
  <c r="G21" i="2"/>
  <c r="I23" i="4" s="1"/>
  <c r="G9" i="2"/>
  <c r="I11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6" i="4" l="1"/>
  <c r="CN27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6" i="4" l="1"/>
  <c r="CT27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6" i="4" l="1"/>
  <c r="CZ27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6" i="4" l="1"/>
  <c r="DL27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6" i="4" l="1"/>
  <c r="DX27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6" i="4" l="1"/>
  <c r="EP27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6" i="4" l="1"/>
  <c r="EV27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6" i="4" l="1"/>
  <c r="FB27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6" i="4" l="1"/>
  <c r="GF27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7" i="4" l="1"/>
  <c r="GK27" i="4" s="1"/>
  <c r="GM27" i="4" s="1"/>
  <c r="GJ26" i="4"/>
  <c r="GK26" i="4" s="1"/>
  <c r="GM26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<sst xmlns="http://schemas.openxmlformats.org/spreadsheetml/2006/main" count="2337" uniqueCount="218">
  <si>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</si>
  <si>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</si>
  <si>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</si>
  <si>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</si>
  <si>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</si>
  <si>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</si>
  <si>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</si>
  <si>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</si>
  <si>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</si>
  <si>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</si>
  <si>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</si>
  <si>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</si>
  <si>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</si>
  <si>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</si>
  <si>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</si>
  <si>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</si>
  <si>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</si>
  <si>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</si>
  <si>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</si>
  <si>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</si>
  <si>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</si>
  <si>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</si>
  <si>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</si>
  <si>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</si>
  <si>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</si>
  <si>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</si>
  <si>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</si>
  <si>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</si>
  <si>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</si>
  <si>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</si>
  <si>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</si>
  <si>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</si>
  <si>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</si>
  <si>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</si>
  <si>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</si>
  <si>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</si>
  <si>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</si>
  <si>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</si>
  <si>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</si>
  <si>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</si>
  <si>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</si>
  <si>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</si>
  <si>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</si>
  <si>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</si>
  <si>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</si>
  <si>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</si>
  <si>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</si>
  <si>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</si>
  <si>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</si>
  <si>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</si>
  <si>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</si>
  <si>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</si>
  <si>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</si>
  <si>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</si>
  <si>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</si>
  <si>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</si>
  <si>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</si>
  <si>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</si>
  <si>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</si>
  <si>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</si>
  <si>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</si>
  <si>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</si>
  <si>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</si>
  <si>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</si>
  <si>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</si>
  <si>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</si>
  <si>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</si>
  <si>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</si>
  <si>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</si>
  <si>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</si>
  <si>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</si>
  <si>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</si>
  <si>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</si>
  <si>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</si>
  <si>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</si>
  <si>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</si>
  <si>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</si>
  <si>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</si>
  <si>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</si>
  <si>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</si>
  <si>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</si>
  <si>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</si>
  <si>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</si>
  <si>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</si>
  <si>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</si>
  <si>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</si>
  <si>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</si>
  <si>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</si>
  <si>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</si>
  <si>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</si>
  <si>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</si>
  <si>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</si>
  <si>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</si>
  <si>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</si>
  <si>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</si>
  <si>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</si>
  <si>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</si>
  <si>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</si>
  <si>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</si>
  <si>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</si>
  <si>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</si>
  <si>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</si>
  <si>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</si>
  <si>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</si>
  <si>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</si>
  <si>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</si>
  <si>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</si>
  <si>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</si>
  <si>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</si>
  <si>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</si>
  <si>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</si>
  <si>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</si>
  <si>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</si>
  <si>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</si>
  <si>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</si>
  <si>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</si>
  <si>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</si>
  <si>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</si>
  <si>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</si>
  <si>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</si>
  <si>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</si>
  <si>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</si>
  <si>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</si>
  <si>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</si>
  <si>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</si>
  <si>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</si>
  <si>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</si>
  <si>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</si>
  <si>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</si>
  <si>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</si>
  <si>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</si>
  <si>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</si>
  <si>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</si>
  <si>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</si>
  <si>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</si>
  <si>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</si>
  <si>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</si>
  <si>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</si>
  <si>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</si>
  <si>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</si>
  <si>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</si>
  <si>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</si>
  <si>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</si>
  <si>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</si>
  <si>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</si>
  <si>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</si>
  <si>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</si>
  <si>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</si>
  <si>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</si>
  <si>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</si>
  <si>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</si>
  <si>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</si>
  <si>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</si>
  <si>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</si>
  <si>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</si>
  <si>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</si>
  <si>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</si>
  <si>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</si>
  <si>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</si>
  <si>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</si>
  <si>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</si>
  <si>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</si>
  <si>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</si>
  <si>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</si>
  <si>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</si>
  <si>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</si>
  <si>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</si>
  <si>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</si>
  <si>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</si>
  <si>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</si>
  <si>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</si>
  <si>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</si>
  <si>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</si>
  <si>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</si>
  <si>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</si>
  <si>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</si>
  <si>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</si>
  <si>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</si>
  <si>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</si>
  <si>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</si>
  <si>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</si>
  <si>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</si>
  <si>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</si>
  <si>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</si>
  <si>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</si>
  <si>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</si>
  <si>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</si>
  <si>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</si>
  <si>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</si>
  <si>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</si>
  <si>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</si>
  <si>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</si>
  <si>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</si>
  <si>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</si>
  <si>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</si>
  <si>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</si>
  <si>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</si>
  <si>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</si>
  <si>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</si>
  <si>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</si>
  <si>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</si>
  <si>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</si>
  <si>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ед</t>
  </si>
  <si>
    <t>Коэффициент плотности населения i-го поселения</t>
  </si>
  <si>
    <t>Коэффициент дифференциации поселения по численности населения</t>
  </si>
  <si>
    <t>К2i=2-(Нi/Плi)/max(Нi/Плi)</t>
  </si>
  <si>
    <t>К3i</t>
  </si>
  <si>
    <t>Площадь территории поселения на 01.01.2021 (Плi)</t>
  </si>
  <si>
    <t>шт.</t>
  </si>
  <si>
    <t>Коэффициент количества населенных пунктов</t>
  </si>
  <si>
    <t>К1i=1+(Pi/Pmax)</t>
  </si>
  <si>
    <t>(Pi/Pmax)</t>
  </si>
  <si>
    <t>на 01.01.2023</t>
  </si>
  <si>
    <t>Количество населенных пунктов (Pi)</t>
  </si>
  <si>
    <t>Объем дотаций, распределенный на 1 и 2 этапах (с учетом округления)</t>
  </si>
  <si>
    <t>Фi</t>
  </si>
  <si>
    <t>2025 год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</si>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</sst>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5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72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1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5" xfId="0" applyFont="1" applyFill="1" applyBorder="1" applyAlignment="1">
      <alignment horizontal="left" vertical="center" wrapText="1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0" borderId="54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80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5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1" fillId="0" borderId="75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wrapText="1"/>
    </xf>
    <xf numFmtId="0" fontId="22" fillId="30" borderId="19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3" fontId="18" fillId="0" borderId="53" xfId="0" applyNumberFormat="1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42" fillId="0" borderId="11" xfId="0" applyNumberFormat="1" applyFont="1" applyFill="1" applyBorder="1" applyAlignment="1">
      <alignment horizontal="center"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8" fillId="42" borderId="35" xfId="0" applyFont="1" applyFill="1" applyBorder="1" applyAlignment="1">
      <alignment horizontal="center" vertical="center" wrapText="1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72" fontId="34" fillId="31" borderId="6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wrapText="1"/>
    </xf>
    <xf numFmtId="171" fontId="18" fillId="0" borderId="11" xfId="0" applyNumberFormat="1" applyFont="1" applyFill="1" applyBorder="1" applyAlignment="1">
      <alignment horizontal="center"/>
    </xf>
    <xf numFmtId="0" fontId="23" fillId="0" borderId="11" xfId="0" applyFont="1" applyFill="1" applyBorder="1" applyAlignment="1">
      <alignment wrapText="1"/>
    </xf>
    <xf numFmtId="3" fontId="18" fillId="0" borderId="73" xfId="0" applyNumberFormat="1" applyFont="1" applyFill="1" applyBorder="1" applyAlignment="1">
      <alignment horizontal="center" vertical="center"/>
    </xf>
    <xf numFmtId="3" fontId="18" fillId="0" borderId="71" xfId="0" applyNumberFormat="1" applyFont="1" applyFill="1" applyBorder="1" applyAlignment="1">
      <alignment horizontal="center" vertical="center"/>
    </xf>
    <xf numFmtId="3" fontId="18" fillId="0" borderId="66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18" fillId="0" borderId="78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4" fontId="18" fillId="0" borderId="71" xfId="0" applyNumberFormat="1" applyFont="1" applyFill="1" applyBorder="1" applyAlignment="1">
      <alignment horizontal="center" vertical="center"/>
    </xf>
    <xf numFmtId="4" fontId="18" fillId="0" borderId="66" xfId="0" applyNumberFormat="1" applyFont="1" applyFill="1" applyBorder="1" applyAlignment="1">
      <alignment horizontal="center" vertical="center"/>
    </xf>
    <xf numFmtId="4" fontId="18" fillId="0" borderId="77" xfId="0" applyNumberFormat="1" applyFont="1" applyFill="1" applyBorder="1" applyAlignment="1">
      <alignment horizontal="center" vertical="center"/>
    </xf>
    <xf numFmtId="4" fontId="18" fillId="0" borderId="78" xfId="0" applyNumberFormat="1" applyFont="1" applyFill="1" applyBorder="1" applyAlignment="1">
      <alignment horizontal="center" vertical="center"/>
    </xf>
    <xf numFmtId="4" fontId="18" fillId="0" borderId="53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4" fontId="18" fillId="0" borderId="23" xfId="0" applyNumberFormat="1" applyFont="1" applyFill="1" applyBorder="1" applyAlignment="1">
      <alignment horizontal="center" vertical="center"/>
    </xf>
    <xf numFmtId="4" fontId="18" fillId="0" borderId="13" xfId="0" applyNumberFormat="1" applyFont="1" applyFill="1" applyBorder="1" applyAlignment="1">
      <alignment horizontal="center" vertical="center"/>
    </xf>
    <xf numFmtId="4" fontId="18" fillId="0" borderId="76" xfId="0" applyNumberFormat="1" applyFont="1" applyFill="1" applyBorder="1" applyAlignment="1">
      <alignment horizontal="center" vertical="center"/>
    </xf>
    <xf numFmtId="4" fontId="18" fillId="26" borderId="13" xfId="0" applyNumberFormat="1" applyFont="1" applyFill="1" applyBorder="1" applyAlignment="1">
      <alignment horizontal="center" vertical="center"/>
    </xf>
    <xf numFmtId="4" fontId="18" fillId="26" borderId="76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168" fontId="18" fillId="0" borderId="76" xfId="0" applyNumberFormat="1" applyFont="1" applyFill="1" applyBorder="1" applyAlignment="1">
      <alignment vertical="center"/>
    </xf>
    <xf numFmtId="170" fontId="18" fillId="0" borderId="16" xfId="0" applyNumberFormat="1" applyFont="1" applyFill="1" applyBorder="1" applyAlignment="1">
      <alignment vertical="center"/>
    </xf>
    <xf numFmtId="0" fontId="18" fillId="0" borderId="75" xfId="0" applyFont="1" applyFill="1" applyBorder="1" applyAlignment="1">
      <alignment horizontal="center" vertical="center"/>
    </xf>
    <xf numFmtId="171" fontId="18" fillId="0" borderId="40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169" fontId="18" fillId="0" borderId="16" xfId="0" applyNumberFormat="1" applyFont="1" applyFill="1" applyBorder="1" applyAlignment="1">
      <alignment vertical="center"/>
    </xf>
    <xf numFmtId="0" fontId="18" fillId="0" borderId="76" xfId="0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right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21" fillId="45" borderId="28" xfId="0" applyFont="1" applyFill="1" applyBorder="1" applyAlignment="1">
      <alignment horizontal="center" vertical="center" wrapText="1"/>
    </xf>
    <xf numFmtId="0" fontId="34" fillId="45" borderId="69" xfId="0" applyFont="1" applyFill="1" applyBorder="1" applyAlignment="1">
      <alignment horizontal="center" vertical="center" wrapText="1"/>
    </xf>
    <xf numFmtId="0" fontId="33" fillId="46" borderId="28" xfId="0" applyFont="1" applyFill="1" applyBorder="1" applyAlignment="1">
      <alignment horizontal="center"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0" xfId="0" applyNumberFormat="1" applyFont="1" applyFill="1" applyBorder="1" applyAlignment="1">
      <alignment vertical="center"/>
    </xf>
    <xf numFmtId="167" fontId="21" fillId="47" borderId="56" xfId="0" applyNumberFormat="1" applyFont="1" applyFill="1" applyBorder="1" applyAlignment="1">
      <alignment vertical="center"/>
    </xf>
    <xf numFmtId="169" fontId="21" fillId="47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5" fillId="0" borderId="0" xfId="0" applyFont="1" applyAlignment="1">
      <alignment horizontal="justify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167" fontId="18" fillId="26" borderId="16" xfId="0" applyNumberFormat="1" applyFont="1" applyFill="1" applyBorder="1" applyAlignment="1">
      <alignment vertical="center"/>
    </xf>
    <xf numFmtId="167" fontId="18" fillId="0" borderId="16" xfId="0" applyNumberFormat="1" applyFont="1" applyFill="1" applyBorder="1" applyAlignment="1">
      <alignment vertical="center"/>
    </xf>
    <xf numFmtId="167" fontId="21" fillId="28" borderId="31" xfId="0" applyNumberFormat="1" applyFont="1" applyFill="1" applyBorder="1" applyAlignment="1">
      <alignment horizontal="right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5"/>
  <sheetViews>
    <sheetView zoomScale="80" zoomScaleNormal="80" zoomScaleSheetLayoutView="75" workbookViewId="0">
      <selection activeCell="D30" sqref="D3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90" t="s">
        <v>77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0" s="4" customFormat="1" ht="16.5" x14ac:dyDescent="0.2">
      <c r="B3" s="283"/>
      <c r="C3" s="283"/>
      <c r="D3" s="283"/>
      <c r="E3" s="283"/>
      <c r="F3" s="283"/>
      <c r="G3" s="283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97" t="s">
        <v>0</v>
      </c>
      <c r="B5" s="284" t="s">
        <v>7</v>
      </c>
      <c r="C5" s="287" t="s">
        <v>56</v>
      </c>
      <c r="D5" s="288"/>
      <c r="E5" s="288"/>
      <c r="F5" s="288"/>
      <c r="G5" s="288"/>
      <c r="H5" s="288"/>
      <c r="I5" s="288"/>
      <c r="J5" s="289"/>
    </row>
    <row r="6" spans="1:10" s="7" customFormat="1" ht="51.75" customHeight="1" x14ac:dyDescent="0.2">
      <c r="A6" s="298"/>
      <c r="B6" s="285"/>
      <c r="C6" s="203" t="s">
        <v>197</v>
      </c>
      <c r="D6" s="203" t="s">
        <v>62</v>
      </c>
      <c r="E6" s="291" t="s">
        <v>73</v>
      </c>
      <c r="F6" s="292"/>
      <c r="G6" s="292"/>
      <c r="H6" s="292"/>
      <c r="I6" s="292"/>
      <c r="J6" s="293"/>
    </row>
    <row r="7" spans="1:10" s="7" customFormat="1" ht="19.5" customHeight="1" thickBot="1" x14ac:dyDescent="0.25">
      <c r="A7" s="298"/>
      <c r="B7" s="285"/>
      <c r="C7" s="204" t="s">
        <v>212</v>
      </c>
      <c r="D7" s="206" t="s">
        <v>216</v>
      </c>
      <c r="E7" s="294"/>
      <c r="F7" s="295"/>
      <c r="G7" s="295"/>
      <c r="H7" s="295"/>
      <c r="I7" s="295"/>
      <c r="J7" s="296"/>
    </row>
    <row r="8" spans="1:10" s="7" customFormat="1" ht="72.75" customHeight="1" thickBot="1" x14ac:dyDescent="0.25">
      <c r="A8" s="298"/>
      <c r="B8" s="286"/>
      <c r="C8" s="205" t="s">
        <v>1</v>
      </c>
      <c r="D8" s="205" t="s">
        <v>2</v>
      </c>
      <c r="E8" s="210" t="s">
        <v>207</v>
      </c>
      <c r="F8" s="211" t="s">
        <v>213</v>
      </c>
      <c r="G8" s="211" t="s">
        <v>199</v>
      </c>
      <c r="H8" s="211" t="s">
        <v>211</v>
      </c>
      <c r="I8" s="92" t="s">
        <v>71</v>
      </c>
      <c r="J8" s="93" t="s">
        <v>71</v>
      </c>
    </row>
    <row r="9" spans="1:10" s="8" customFormat="1" ht="24.75" thickBot="1" x14ac:dyDescent="0.25">
      <c r="A9" s="299"/>
      <c r="B9" s="57" t="s">
        <v>3</v>
      </c>
      <c r="C9" s="202" t="s">
        <v>5</v>
      </c>
      <c r="D9" s="202" t="s">
        <v>4</v>
      </c>
      <c r="E9" s="209" t="s">
        <v>200</v>
      </c>
      <c r="F9" s="209" t="s">
        <v>208</v>
      </c>
      <c r="G9" s="209" t="s">
        <v>201</v>
      </c>
      <c r="H9" s="209" t="s">
        <v>202</v>
      </c>
      <c r="I9" s="90" t="s">
        <v>72</v>
      </c>
      <c r="J9" s="91" t="s">
        <v>72</v>
      </c>
    </row>
    <row r="10" spans="1:10" s="8" customFormat="1" thickBot="1" x14ac:dyDescent="0.25">
      <c r="A10" s="36">
        <v>1</v>
      </c>
      <c r="B10" s="37">
        <v>2</v>
      </c>
      <c r="C10" s="201">
        <v>3</v>
      </c>
      <c r="D10" s="201">
        <v>4</v>
      </c>
      <c r="E10" s="208">
        <v>5</v>
      </c>
      <c r="F10" s="208">
        <v>6</v>
      </c>
      <c r="G10" s="208">
        <v>7</v>
      </c>
      <c r="H10" s="208">
        <v>8</v>
      </c>
      <c r="I10" s="37">
        <v>9</v>
      </c>
      <c r="J10" s="38">
        <v>10</v>
      </c>
    </row>
    <row r="11" spans="1:10" x14ac:dyDescent="0.25">
      <c r="A11" s="39">
        <v>1</v>
      </c>
      <c r="B11" s="200" t="s">
        <v>178</v>
      </c>
      <c r="C11" s="244">
        <v>1971</v>
      </c>
      <c r="D11" s="249">
        <v>1508785.13</v>
      </c>
      <c r="E11" s="258">
        <v>379.92</v>
      </c>
      <c r="F11" s="264">
        <v>9</v>
      </c>
      <c r="G11" s="215">
        <f>C11/E11</f>
        <v>5.1879343019583066</v>
      </c>
      <c r="H11" s="213">
        <f>F11/F11</f>
        <v>1</v>
      </c>
      <c r="I11" s="116"/>
      <c r="J11" s="117"/>
    </row>
    <row r="12" spans="1:10" x14ac:dyDescent="0.25">
      <c r="A12" s="40">
        <v>2</v>
      </c>
      <c r="B12" s="200" t="s">
        <v>179</v>
      </c>
      <c r="C12" s="245">
        <v>984</v>
      </c>
      <c r="D12" s="250">
        <v>703751.56</v>
      </c>
      <c r="E12" s="259">
        <v>143.54</v>
      </c>
      <c r="F12" s="255">
        <v>4</v>
      </c>
      <c r="G12" s="214">
        <f t="shared" ref="G12:G27" si="0">C12/E12</f>
        <v>6.8552319910826256</v>
      </c>
      <c r="H12" s="218">
        <f>F12/F11</f>
        <v>0.44444444444444442</v>
      </c>
      <c r="I12" s="119"/>
      <c r="J12" s="120"/>
    </row>
    <row r="13" spans="1:10" x14ac:dyDescent="0.25">
      <c r="A13" s="40">
        <v>3</v>
      </c>
      <c r="B13" s="200" t="s">
        <v>180</v>
      </c>
      <c r="C13" s="245">
        <v>986</v>
      </c>
      <c r="D13" s="250">
        <v>1183778.54</v>
      </c>
      <c r="E13" s="259">
        <v>335.19</v>
      </c>
      <c r="F13" s="255">
        <v>5</v>
      </c>
      <c r="G13" s="214">
        <f t="shared" si="0"/>
        <v>2.9416152033175216</v>
      </c>
      <c r="H13" s="212">
        <f>F13/F11</f>
        <v>0.55555555555555558</v>
      </c>
      <c r="I13" s="119"/>
      <c r="J13" s="120"/>
    </row>
    <row r="14" spans="1:10" x14ac:dyDescent="0.25">
      <c r="A14" s="40">
        <v>4</v>
      </c>
      <c r="B14" s="200" t="s">
        <v>181</v>
      </c>
      <c r="C14" s="245">
        <v>671</v>
      </c>
      <c r="D14" s="250">
        <v>584804.18000000005</v>
      </c>
      <c r="E14" s="259">
        <v>280.49</v>
      </c>
      <c r="F14" s="255">
        <v>5</v>
      </c>
      <c r="G14" s="214">
        <f t="shared" si="0"/>
        <v>2.3922421476701485</v>
      </c>
      <c r="H14" s="212">
        <f>F14/F11</f>
        <v>0.55555555555555558</v>
      </c>
      <c r="I14" s="119"/>
      <c r="J14" s="120"/>
    </row>
    <row r="15" spans="1:10" x14ac:dyDescent="0.25">
      <c r="A15" s="40">
        <v>5</v>
      </c>
      <c r="B15" s="200" t="s">
        <v>182</v>
      </c>
      <c r="C15" s="245">
        <v>1550</v>
      </c>
      <c r="D15" s="250">
        <v>866307.59</v>
      </c>
      <c r="E15" s="259">
        <v>164.38</v>
      </c>
      <c r="F15" s="255">
        <v>8</v>
      </c>
      <c r="G15" s="214">
        <f t="shared" si="0"/>
        <v>9.429370969704344</v>
      </c>
      <c r="H15" s="212">
        <f>F15/F11</f>
        <v>0.88888888888888884</v>
      </c>
      <c r="I15" s="119"/>
      <c r="J15" s="120"/>
    </row>
    <row r="16" spans="1:10" x14ac:dyDescent="0.25">
      <c r="A16" s="40">
        <v>6</v>
      </c>
      <c r="B16" s="200" t="s">
        <v>183</v>
      </c>
      <c r="C16" s="245">
        <v>1629</v>
      </c>
      <c r="D16" s="250">
        <v>922937.74</v>
      </c>
      <c r="E16" s="259">
        <v>113.11</v>
      </c>
      <c r="F16" s="255">
        <v>3</v>
      </c>
      <c r="G16" s="214">
        <f t="shared" si="0"/>
        <v>14.401909645477854</v>
      </c>
      <c r="H16" s="212">
        <f>F16/F11</f>
        <v>0.33333333333333331</v>
      </c>
      <c r="I16" s="119"/>
      <c r="J16" s="120"/>
    </row>
    <row r="17" spans="1:10" x14ac:dyDescent="0.25">
      <c r="A17" s="40">
        <v>7</v>
      </c>
      <c r="B17" s="200" t="s">
        <v>184</v>
      </c>
      <c r="C17" s="245">
        <v>2644</v>
      </c>
      <c r="D17" s="250">
        <v>2155366.2200000002</v>
      </c>
      <c r="E17" s="259">
        <v>154.63</v>
      </c>
      <c r="F17" s="255">
        <v>4</v>
      </c>
      <c r="G17" s="219">
        <f>C17/E17</f>
        <v>17.098881200284552</v>
      </c>
      <c r="H17" s="212">
        <f>F17/F11</f>
        <v>0.44444444444444442</v>
      </c>
      <c r="I17" s="119"/>
      <c r="J17" s="120"/>
    </row>
    <row r="18" spans="1:10" x14ac:dyDescent="0.25">
      <c r="A18" s="40">
        <v>8</v>
      </c>
      <c r="B18" s="200" t="s">
        <v>185</v>
      </c>
      <c r="C18" s="246">
        <v>2508</v>
      </c>
      <c r="D18" s="251">
        <v>2586714.69</v>
      </c>
      <c r="E18" s="259">
        <v>153.02000000000001</v>
      </c>
      <c r="F18" s="255">
        <v>3</v>
      </c>
      <c r="G18" s="214">
        <f t="shared" si="0"/>
        <v>16.390014377205592</v>
      </c>
      <c r="H18" s="212">
        <f>F18/F11</f>
        <v>0.33333333333333331</v>
      </c>
      <c r="I18" s="119"/>
      <c r="J18" s="120"/>
    </row>
    <row r="19" spans="1:10" x14ac:dyDescent="0.25">
      <c r="A19" s="40">
        <v>9</v>
      </c>
      <c r="B19" s="200" t="s">
        <v>186</v>
      </c>
      <c r="C19" s="247">
        <v>1238</v>
      </c>
      <c r="D19" s="252">
        <v>949003.15</v>
      </c>
      <c r="E19" s="259">
        <v>126.62</v>
      </c>
      <c r="F19" s="255">
        <v>2</v>
      </c>
      <c r="G19" s="214">
        <f t="shared" si="0"/>
        <v>9.7772863686621392</v>
      </c>
      <c r="H19" s="212">
        <f>F19/F11</f>
        <v>0.22222222222222221</v>
      </c>
      <c r="I19" s="119"/>
      <c r="J19" s="120"/>
    </row>
    <row r="20" spans="1:10" x14ac:dyDescent="0.25">
      <c r="A20" s="40">
        <v>10</v>
      </c>
      <c r="B20" s="200" t="s">
        <v>187</v>
      </c>
      <c r="C20" s="248">
        <v>1027</v>
      </c>
      <c r="D20" s="253">
        <v>736366.79</v>
      </c>
      <c r="E20" s="260">
        <v>187.76</v>
      </c>
      <c r="F20" s="256">
        <v>6</v>
      </c>
      <c r="G20" s="216">
        <f t="shared" si="0"/>
        <v>5.4697486152535157</v>
      </c>
      <c r="H20" s="212">
        <f>F20/F11</f>
        <v>0.66666666666666663</v>
      </c>
      <c r="I20" s="119"/>
      <c r="J20" s="120"/>
    </row>
    <row r="21" spans="1:10" x14ac:dyDescent="0.25">
      <c r="A21" s="40">
        <v>11</v>
      </c>
      <c r="B21" s="200" t="s">
        <v>188</v>
      </c>
      <c r="C21" s="207">
        <v>574</v>
      </c>
      <c r="D21" s="254">
        <v>601490.02</v>
      </c>
      <c r="E21" s="259">
        <v>261.83</v>
      </c>
      <c r="F21" s="255">
        <v>4</v>
      </c>
      <c r="G21" s="214">
        <f t="shared" si="0"/>
        <v>2.1922621548332888</v>
      </c>
      <c r="H21" s="212">
        <f>F21/F11</f>
        <v>0.44444444444444442</v>
      </c>
      <c r="I21" s="119"/>
      <c r="J21" s="120"/>
    </row>
    <row r="22" spans="1:10" x14ac:dyDescent="0.25">
      <c r="A22" s="40">
        <v>12</v>
      </c>
      <c r="B22" s="200" t="s">
        <v>189</v>
      </c>
      <c r="C22" s="207">
        <v>1009</v>
      </c>
      <c r="D22" s="254">
        <v>540284.65</v>
      </c>
      <c r="E22" s="259">
        <v>107.26</v>
      </c>
      <c r="F22" s="255">
        <v>3</v>
      </c>
      <c r="G22" s="214">
        <f t="shared" si="0"/>
        <v>9.4070482938653726</v>
      </c>
      <c r="H22" s="212">
        <f>F22/F11</f>
        <v>0.33333333333333331</v>
      </c>
      <c r="I22" s="119"/>
      <c r="J22" s="120"/>
    </row>
    <row r="23" spans="1:10" x14ac:dyDescent="0.25">
      <c r="A23" s="40">
        <v>13</v>
      </c>
      <c r="B23" s="200" t="s">
        <v>190</v>
      </c>
      <c r="C23" s="207">
        <v>1676</v>
      </c>
      <c r="D23" s="254">
        <v>1355391.84</v>
      </c>
      <c r="E23" s="259">
        <v>160.94</v>
      </c>
      <c r="F23" s="255">
        <v>2</v>
      </c>
      <c r="G23" s="214">
        <f t="shared" si="0"/>
        <v>10.413818814465019</v>
      </c>
      <c r="H23" s="212">
        <f>F23/F11</f>
        <v>0.22222222222222221</v>
      </c>
      <c r="I23" s="119"/>
      <c r="J23" s="120"/>
    </row>
    <row r="24" spans="1:10" x14ac:dyDescent="0.25">
      <c r="A24" s="40">
        <v>14</v>
      </c>
      <c r="B24" s="200" t="s">
        <v>191</v>
      </c>
      <c r="C24" s="207">
        <v>647</v>
      </c>
      <c r="D24" s="254">
        <v>798468.02</v>
      </c>
      <c r="E24" s="261">
        <v>175.34</v>
      </c>
      <c r="F24" s="257">
        <v>4</v>
      </c>
      <c r="G24" s="217">
        <f t="shared" si="0"/>
        <v>3.6899737652560738</v>
      </c>
      <c r="H24" s="212">
        <f>F24/F11</f>
        <v>0.44444444444444442</v>
      </c>
      <c r="I24" s="119"/>
      <c r="J24" s="120"/>
    </row>
    <row r="25" spans="1:10" x14ac:dyDescent="0.25">
      <c r="A25" s="40">
        <v>15</v>
      </c>
      <c r="B25" s="200" t="s">
        <v>192</v>
      </c>
      <c r="C25" s="207">
        <v>939</v>
      </c>
      <c r="D25" s="254">
        <v>934499.91</v>
      </c>
      <c r="E25" s="261">
        <v>141.12</v>
      </c>
      <c r="F25" s="257">
        <v>3</v>
      </c>
      <c r="G25" s="217">
        <f t="shared" si="0"/>
        <v>6.65391156462585</v>
      </c>
      <c r="H25" s="212">
        <f>F25/F11</f>
        <v>0.33333333333333331</v>
      </c>
      <c r="I25" s="119"/>
      <c r="J25" s="120"/>
    </row>
    <row r="26" spans="1:10" x14ac:dyDescent="0.25">
      <c r="A26" s="40">
        <v>16</v>
      </c>
      <c r="B26" s="200" t="s">
        <v>193</v>
      </c>
      <c r="C26" s="207">
        <v>1466</v>
      </c>
      <c r="D26" s="254">
        <v>1292521.73</v>
      </c>
      <c r="E26" s="261">
        <v>221.04</v>
      </c>
      <c r="F26" s="257">
        <v>5</v>
      </c>
      <c r="G26" s="217">
        <f t="shared" si="0"/>
        <v>6.632283749547593</v>
      </c>
      <c r="H26" s="212">
        <f>F26/F11</f>
        <v>0.55555555555555558</v>
      </c>
      <c r="I26" s="119"/>
      <c r="J26" s="120"/>
    </row>
    <row r="27" spans="1:10" x14ac:dyDescent="0.25">
      <c r="A27" s="40">
        <v>17</v>
      </c>
      <c r="B27" s="200" t="s">
        <v>194</v>
      </c>
      <c r="C27" s="207">
        <v>536</v>
      </c>
      <c r="D27" s="254">
        <v>819704.67</v>
      </c>
      <c r="E27" s="261">
        <v>149.47</v>
      </c>
      <c r="F27" s="257">
        <v>3</v>
      </c>
      <c r="G27" s="217">
        <f t="shared" si="0"/>
        <v>3.5860038803773331</v>
      </c>
      <c r="H27" s="212">
        <f>F27/F11</f>
        <v>0.33333333333333331</v>
      </c>
      <c r="I27" s="119"/>
      <c r="J27" s="120"/>
    </row>
    <row r="28" spans="1:10" x14ac:dyDescent="0.25">
      <c r="A28" s="40">
        <v>18</v>
      </c>
      <c r="B28" s="200" t="s">
        <v>195</v>
      </c>
      <c r="C28" s="207">
        <v>5433</v>
      </c>
      <c r="D28" s="254">
        <v>14626778.25</v>
      </c>
      <c r="E28" s="261">
        <v>7.35</v>
      </c>
      <c r="F28" s="257">
        <v>1</v>
      </c>
      <c r="G28" s="217"/>
      <c r="H28" s="212">
        <f>F28/F11</f>
        <v>0.1111111111111111</v>
      </c>
      <c r="I28" s="119"/>
      <c r="J28" s="120"/>
    </row>
    <row r="29" spans="1:10" x14ac:dyDescent="0.25">
      <c r="A29" s="40">
        <v>19</v>
      </c>
      <c r="B29" s="200" t="s">
        <v>196</v>
      </c>
      <c r="C29" s="207">
        <v>10913</v>
      </c>
      <c r="D29" s="254">
        <v>17081918.870000001</v>
      </c>
      <c r="E29" s="261">
        <v>17.78</v>
      </c>
      <c r="F29" s="257">
        <v>1</v>
      </c>
      <c r="G29" s="217"/>
      <c r="H29" s="212">
        <f>F29/F11</f>
        <v>0.1111111111111111</v>
      </c>
      <c r="I29" s="119"/>
      <c r="J29" s="120"/>
    </row>
    <row r="30" spans="1:10" x14ac:dyDescent="0.2">
      <c r="A30" s="40">
        <v>20</v>
      </c>
      <c r="B30" s="137"/>
      <c r="C30" s="140"/>
      <c r="D30" s="139"/>
      <c r="E30" s="261"/>
      <c r="F30" s="118"/>
      <c r="G30" s="118"/>
      <c r="H30" s="119"/>
      <c r="I30" s="119"/>
      <c r="J30" s="120"/>
    </row>
    <row r="31" spans="1:10" x14ac:dyDescent="0.2">
      <c r="A31" s="40">
        <v>21</v>
      </c>
      <c r="B31" s="137"/>
      <c r="C31" s="140"/>
      <c r="D31" s="139"/>
      <c r="E31" s="261"/>
      <c r="F31" s="118"/>
      <c r="G31" s="118"/>
      <c r="H31" s="119"/>
      <c r="I31" s="119"/>
      <c r="J31" s="120"/>
    </row>
    <row r="32" spans="1:10" x14ac:dyDescent="0.2">
      <c r="A32" s="40">
        <v>22</v>
      </c>
      <c r="B32" s="137"/>
      <c r="C32" s="140"/>
      <c r="D32" s="139"/>
      <c r="E32" s="261"/>
      <c r="F32" s="118"/>
      <c r="G32" s="118"/>
      <c r="H32" s="119"/>
      <c r="I32" s="119"/>
      <c r="J32" s="120"/>
    </row>
    <row r="33" spans="1:10" x14ac:dyDescent="0.2">
      <c r="A33" s="40">
        <v>23</v>
      </c>
      <c r="B33" s="137"/>
      <c r="C33" s="140"/>
      <c r="D33" s="139"/>
      <c r="E33" s="261"/>
      <c r="F33" s="118"/>
      <c r="G33" s="118"/>
      <c r="H33" s="119"/>
      <c r="I33" s="119"/>
      <c r="J33" s="120"/>
    </row>
    <row r="34" spans="1:10" ht="23.25" customHeight="1" thickBot="1" x14ac:dyDescent="0.25">
      <c r="A34" s="41">
        <v>24</v>
      </c>
      <c r="B34" s="138"/>
      <c r="C34" s="141"/>
      <c r="D34" s="142"/>
      <c r="E34" s="262"/>
      <c r="F34" s="121"/>
      <c r="G34" s="121"/>
      <c r="H34" s="122"/>
      <c r="I34" s="122"/>
      <c r="J34" s="123"/>
    </row>
    <row r="35" spans="1:10" ht="16.5" thickBot="1" x14ac:dyDescent="0.25">
      <c r="A35" s="19"/>
      <c r="B35" s="20" t="s">
        <v>6</v>
      </c>
      <c r="C35" s="21">
        <f>SUM(C11:C34)</f>
        <v>38401</v>
      </c>
      <c r="D35" s="263">
        <f>SUM(D11:D34)</f>
        <v>50248873.549999997</v>
      </c>
      <c r="E35" s="263">
        <f>SUM(E11:E34)</f>
        <v>3280.79</v>
      </c>
      <c r="F35" s="21">
        <f>SUM(F11:F34)</f>
        <v>75</v>
      </c>
      <c r="G35" s="22" t="s">
        <v>8</v>
      </c>
      <c r="H35" s="199" t="s">
        <v>8</v>
      </c>
      <c r="I35" s="42"/>
      <c r="J35" s="43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E19" sqref="E19"/>
    </sheetView>
  </sheetViews>
  <sheetFormatPr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12.57031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300" t="s">
        <v>63</v>
      </c>
      <c r="B2" s="300"/>
      <c r="C2" s="300"/>
      <c r="D2" s="300"/>
      <c r="E2" s="300"/>
      <c r="F2" s="300"/>
      <c r="G2" s="300"/>
    </row>
    <row r="3" spans="1:8" ht="16.5" thickBot="1" x14ac:dyDescent="0.25">
      <c r="B3" s="12"/>
    </row>
    <row r="4" spans="1:8" s="7" customFormat="1" ht="80.25" customHeight="1" thickBot="1" x14ac:dyDescent="0.25">
      <c r="A4" s="302" t="s">
        <v>0</v>
      </c>
      <c r="B4" s="302" t="s">
        <v>61</v>
      </c>
      <c r="C4" s="224" t="s">
        <v>209</v>
      </c>
      <c r="D4" s="224" t="s">
        <v>203</v>
      </c>
      <c r="E4" s="224" t="s">
        <v>204</v>
      </c>
      <c r="F4" s="226" t="s">
        <v>75</v>
      </c>
      <c r="G4" s="304" t="s">
        <v>64</v>
      </c>
    </row>
    <row r="5" spans="1:8" s="13" customFormat="1" ht="45.75" customHeight="1" thickBot="1" x14ac:dyDescent="0.25">
      <c r="A5" s="303"/>
      <c r="B5" s="303"/>
      <c r="C5" s="225" t="s">
        <v>210</v>
      </c>
      <c r="D5" s="225" t="s">
        <v>205</v>
      </c>
      <c r="E5" s="225" t="s">
        <v>206</v>
      </c>
      <c r="F5" s="227" t="s">
        <v>76</v>
      </c>
      <c r="G5" s="305"/>
    </row>
    <row r="6" spans="1:8" s="14" customFormat="1" thickBot="1" x14ac:dyDescent="0.25">
      <c r="A6" s="220">
        <v>1</v>
      </c>
      <c r="B6" s="221">
        <v>2</v>
      </c>
      <c r="C6" s="221">
        <v>3</v>
      </c>
      <c r="D6" s="221">
        <v>4</v>
      </c>
      <c r="E6" s="221">
        <v>5</v>
      </c>
      <c r="F6" s="228">
        <v>6</v>
      </c>
      <c r="G6" s="229">
        <v>7</v>
      </c>
    </row>
    <row r="7" spans="1:8" x14ac:dyDescent="0.25">
      <c r="A7" s="234">
        <v>1</v>
      </c>
      <c r="B7" s="241" t="s">
        <v>178</v>
      </c>
      <c r="C7" s="236">
        <f>1+'Исходные данные'!H11</f>
        <v>2</v>
      </c>
      <c r="D7" s="236">
        <f>2-'Исходные данные'!G11/'Исходные данные'!G17</f>
        <v>1.6965921780968938</v>
      </c>
      <c r="E7" s="237">
        <v>1.3</v>
      </c>
      <c r="F7" s="238"/>
      <c r="G7" s="235">
        <f t="shared" ref="G7:G25" si="0">(C7+D7)/2*E7</f>
        <v>2.402784915762981</v>
      </c>
      <c r="H7" s="18"/>
    </row>
    <row r="8" spans="1:8" s="15" customFormat="1" x14ac:dyDescent="0.25">
      <c r="A8" s="222">
        <v>2</v>
      </c>
      <c r="B8" s="241" t="s">
        <v>179</v>
      </c>
      <c r="C8" s="231">
        <f>1+'Исходные данные'!H12</f>
        <v>1.4444444444444444</v>
      </c>
      <c r="D8" s="231">
        <f>2-'Исходные данные'!G12/'Исходные данные'!G17</f>
        <v>1.5990830095381594</v>
      </c>
      <c r="E8" s="232">
        <v>2.5</v>
      </c>
      <c r="F8" s="239"/>
      <c r="G8" s="230">
        <f t="shared" si="0"/>
        <v>3.8044093174782545</v>
      </c>
      <c r="H8" s="18"/>
    </row>
    <row r="9" spans="1:8" s="15" customFormat="1" x14ac:dyDescent="0.25">
      <c r="A9" s="223">
        <v>3</v>
      </c>
      <c r="B9" s="241" t="s">
        <v>180</v>
      </c>
      <c r="C9" s="231">
        <f>1+'Исходные данные'!H13</f>
        <v>1.5555555555555556</v>
      </c>
      <c r="D9" s="231">
        <f>2-'Исходные данные'!G13/'Исходные данные'!G17</f>
        <v>1.8279644633551482</v>
      </c>
      <c r="E9" s="232">
        <v>2.5</v>
      </c>
      <c r="F9" s="239"/>
      <c r="G9" s="230">
        <f t="shared" si="0"/>
        <v>4.2294000236383802</v>
      </c>
      <c r="H9" s="18"/>
    </row>
    <row r="10" spans="1:8" s="15" customFormat="1" x14ac:dyDescent="0.25">
      <c r="A10" s="222">
        <v>4</v>
      </c>
      <c r="B10" s="241" t="s">
        <v>181</v>
      </c>
      <c r="C10" s="231">
        <f>1+'Исходные данные'!H14</f>
        <v>1.5555555555555556</v>
      </c>
      <c r="D10" s="231">
        <f>2-'Исходные данные'!G14/'Исходные данные'!G17</f>
        <v>1.8600936447449943</v>
      </c>
      <c r="E10" s="232">
        <v>2.8</v>
      </c>
      <c r="F10" s="239"/>
      <c r="G10" s="230">
        <f t="shared" si="0"/>
        <v>4.7819088804207688</v>
      </c>
      <c r="H10" s="18"/>
    </row>
    <row r="11" spans="1:8" s="15" customFormat="1" x14ac:dyDescent="0.25">
      <c r="A11" s="223">
        <v>5</v>
      </c>
      <c r="B11" s="241" t="s">
        <v>182</v>
      </c>
      <c r="C11" s="231">
        <f>1+'Исходные данные'!H15</f>
        <v>1.8888888888888888</v>
      </c>
      <c r="D11" s="231">
        <f>2-'Исходные данные'!G15/'Исходные данные'!G17</f>
        <v>1.4485387166999311</v>
      </c>
      <c r="E11" s="232">
        <v>1.4</v>
      </c>
      <c r="F11" s="239"/>
      <c r="G11" s="230">
        <f t="shared" si="0"/>
        <v>2.3361993239121737</v>
      </c>
      <c r="H11" s="18"/>
    </row>
    <row r="12" spans="1:8" s="15" customFormat="1" x14ac:dyDescent="0.25">
      <c r="A12" s="222">
        <v>6</v>
      </c>
      <c r="B12" s="241" t="s">
        <v>183</v>
      </c>
      <c r="C12" s="231">
        <f>1+'Исходные данные'!H16</f>
        <v>1.3333333333333333</v>
      </c>
      <c r="D12" s="231">
        <f>2-'Исходные данные'!G16/'Исходные данные'!G17</f>
        <v>1.1577279544325869</v>
      </c>
      <c r="E12" s="232">
        <v>1.4</v>
      </c>
      <c r="F12" s="239"/>
      <c r="G12" s="230">
        <f t="shared" si="0"/>
        <v>1.7437429014361441</v>
      </c>
      <c r="H12" s="18"/>
    </row>
    <row r="13" spans="1:8" s="15" customFormat="1" x14ac:dyDescent="0.25">
      <c r="A13" s="223">
        <v>7</v>
      </c>
      <c r="B13" s="241" t="s">
        <v>184</v>
      </c>
      <c r="C13" s="231">
        <f>1+'Исходные данные'!H17</f>
        <v>1.4444444444444444</v>
      </c>
      <c r="D13" s="231">
        <f>2-'Исходные данные'!G17/'Исходные данные'!G17</f>
        <v>1</v>
      </c>
      <c r="E13" s="242">
        <v>1.1499999999999999</v>
      </c>
      <c r="F13" s="239"/>
      <c r="G13" s="230">
        <f t="shared" si="0"/>
        <v>1.4055555555555557</v>
      </c>
      <c r="H13" s="18"/>
    </row>
    <row r="14" spans="1:8" s="15" customFormat="1" x14ac:dyDescent="0.25">
      <c r="A14" s="222">
        <v>8</v>
      </c>
      <c r="B14" s="241" t="s">
        <v>185</v>
      </c>
      <c r="C14" s="231">
        <f>1+'Исходные данные'!H18</f>
        <v>1.3333333333333333</v>
      </c>
      <c r="D14" s="231">
        <f>2-'Исходные данные'!G18/'Исходные данные'!G17</f>
        <v>1.041456912576664</v>
      </c>
      <c r="E14" s="232">
        <v>1.3</v>
      </c>
      <c r="F14" s="239"/>
      <c r="G14" s="230">
        <f t="shared" si="0"/>
        <v>1.5436136598414982</v>
      </c>
      <c r="H14" s="18"/>
    </row>
    <row r="15" spans="1:8" s="15" customFormat="1" x14ac:dyDescent="0.25">
      <c r="A15" s="223">
        <v>9</v>
      </c>
      <c r="B15" s="241" t="s">
        <v>186</v>
      </c>
      <c r="C15" s="231">
        <f>1+'Исходные данные'!H19</f>
        <v>1.2222222222222223</v>
      </c>
      <c r="D15" s="231">
        <f>2-'Исходные данные'!G19/'Исходные данные'!G17</f>
        <v>1.4281914556784319</v>
      </c>
      <c r="E15" s="231">
        <v>2.1</v>
      </c>
      <c r="F15" s="239"/>
      <c r="G15" s="230">
        <f t="shared" si="0"/>
        <v>2.7829343617956872</v>
      </c>
      <c r="H15" s="18"/>
    </row>
    <row r="16" spans="1:8" s="15" customFormat="1" x14ac:dyDescent="0.25">
      <c r="A16" s="222">
        <v>10</v>
      </c>
      <c r="B16" s="241" t="s">
        <v>187</v>
      </c>
      <c r="C16" s="231">
        <f>1+'Исходные данные'!H20</f>
        <v>1.6666666666666665</v>
      </c>
      <c r="D16" s="231">
        <f>2-'Исходные данные'!G20/'Исходные данные'!G17</f>
        <v>1.6801107305685887</v>
      </c>
      <c r="E16" s="232">
        <v>2.1</v>
      </c>
      <c r="F16" s="239"/>
      <c r="G16" s="230">
        <f t="shared" si="0"/>
        <v>3.5141162670970183</v>
      </c>
      <c r="H16" s="18"/>
    </row>
    <row r="17" spans="1:8" s="15" customFormat="1" x14ac:dyDescent="0.25">
      <c r="A17" s="223">
        <v>11</v>
      </c>
      <c r="B17" s="241" t="s">
        <v>188</v>
      </c>
      <c r="C17" s="231">
        <f>1+'Исходные данные'!H21</f>
        <v>1.4444444444444444</v>
      </c>
      <c r="D17" s="231">
        <f>2-'Исходные данные'!G21/'Исходные данные'!G17</f>
        <v>1.87178914636843</v>
      </c>
      <c r="E17" s="232">
        <v>2.8</v>
      </c>
      <c r="F17" s="239"/>
      <c r="G17" s="230">
        <f t="shared" si="0"/>
        <v>4.6427270271380241</v>
      </c>
      <c r="H17" s="18"/>
    </row>
    <row r="18" spans="1:8" x14ac:dyDescent="0.25">
      <c r="A18" s="222">
        <v>12</v>
      </c>
      <c r="B18" s="241" t="s">
        <v>189</v>
      </c>
      <c r="C18" s="231">
        <f>1+'Исходные данные'!H22</f>
        <v>1.3333333333333333</v>
      </c>
      <c r="D18" s="231">
        <f>2-'Исходные данные'!G22/'Исходные данные'!G17</f>
        <v>1.4498442217547645</v>
      </c>
      <c r="E18" s="231">
        <v>2.1</v>
      </c>
      <c r="F18" s="239"/>
      <c r="G18" s="230">
        <f t="shared" si="0"/>
        <v>2.9223364328425023</v>
      </c>
    </row>
    <row r="19" spans="1:8" x14ac:dyDescent="0.25">
      <c r="A19" s="223">
        <v>13</v>
      </c>
      <c r="B19" s="241" t="s">
        <v>190</v>
      </c>
      <c r="C19" s="231">
        <f>1+'Исходные данные'!H23</f>
        <v>1.2222222222222223</v>
      </c>
      <c r="D19" s="231">
        <f>2-'Исходные данные'!G23/'Исходные данные'!G17</f>
        <v>1.390964900423326</v>
      </c>
      <c r="E19" s="232">
        <v>1.4</v>
      </c>
      <c r="F19" s="240"/>
      <c r="G19" s="230">
        <f t="shared" si="0"/>
        <v>1.8292309858518836</v>
      </c>
    </row>
    <row r="20" spans="1:8" x14ac:dyDescent="0.25">
      <c r="A20" s="222">
        <v>14</v>
      </c>
      <c r="B20" s="241" t="s">
        <v>191</v>
      </c>
      <c r="C20" s="233">
        <f>1+'Исходные данные'!H24</f>
        <v>1.4444444444444444</v>
      </c>
      <c r="D20" s="233">
        <f>2-'Исходные данные'!G24/'Исходные данные'!G17</f>
        <v>1.7841979412550883</v>
      </c>
      <c r="E20" s="233">
        <v>2.8</v>
      </c>
      <c r="F20" s="240"/>
      <c r="G20" s="230">
        <f t="shared" si="0"/>
        <v>4.5200993399793452</v>
      </c>
    </row>
    <row r="21" spans="1:8" x14ac:dyDescent="0.25">
      <c r="A21" s="223">
        <v>15</v>
      </c>
      <c r="B21" s="241" t="s">
        <v>192</v>
      </c>
      <c r="C21" s="233">
        <f>1+'Исходные данные'!H25</f>
        <v>1.3333333333333333</v>
      </c>
      <c r="D21" s="233">
        <f>2-'Исходные данные'!G25/'Исходные данные'!G17</f>
        <v>1.6108569042215979</v>
      </c>
      <c r="E21" s="233">
        <v>2.5</v>
      </c>
      <c r="F21" s="240"/>
      <c r="G21" s="230">
        <f t="shared" si="0"/>
        <v>3.6802377969436639</v>
      </c>
    </row>
    <row r="22" spans="1:8" x14ac:dyDescent="0.25">
      <c r="A22" s="222">
        <v>16</v>
      </c>
      <c r="B22" s="241" t="s">
        <v>193</v>
      </c>
      <c r="C22" s="233">
        <f>1+'Исходные данные'!H26</f>
        <v>1.5555555555555556</v>
      </c>
      <c r="D22" s="233">
        <f>2-'Исходные данные'!G26/'Исходные данные'!G17</f>
        <v>1.6121217714854219</v>
      </c>
      <c r="E22" s="233">
        <v>1.4</v>
      </c>
      <c r="F22" s="240"/>
      <c r="G22" s="230">
        <f t="shared" si="0"/>
        <v>2.2173741289286841</v>
      </c>
    </row>
    <row r="23" spans="1:8" x14ac:dyDescent="0.25">
      <c r="A23" s="223">
        <v>17</v>
      </c>
      <c r="B23" s="241" t="s">
        <v>194</v>
      </c>
      <c r="C23" s="233">
        <f>1+'Исходные данные'!H27</f>
        <v>1.3333333333333333</v>
      </c>
      <c r="D23" s="233">
        <f>2-'Исходные данные'!G27/'Исходные данные'!G17</f>
        <v>1.7902784493106101</v>
      </c>
      <c r="E23" s="233">
        <v>2.8</v>
      </c>
      <c r="F23" s="240"/>
      <c r="G23" s="230">
        <f t="shared" si="0"/>
        <v>4.3730564957015208</v>
      </c>
    </row>
    <row r="24" spans="1:8" x14ac:dyDescent="0.25">
      <c r="A24" s="222">
        <v>18</v>
      </c>
      <c r="B24" s="241" t="s">
        <v>195</v>
      </c>
      <c r="C24" s="233">
        <f>1+'Исходные данные'!H28</f>
        <v>1.1111111111111112</v>
      </c>
      <c r="D24" s="233">
        <v>1</v>
      </c>
      <c r="E24" s="233">
        <v>1.1000000000000001</v>
      </c>
      <c r="F24" s="240"/>
      <c r="G24" s="230">
        <f t="shared" si="0"/>
        <v>1.1611111111111112</v>
      </c>
    </row>
    <row r="25" spans="1:8" x14ac:dyDescent="0.25">
      <c r="A25" s="223">
        <v>19</v>
      </c>
      <c r="B25" s="241" t="s">
        <v>196</v>
      </c>
      <c r="C25" s="233">
        <f>1+'Исходные данные'!H29</f>
        <v>1.1111111111111112</v>
      </c>
      <c r="D25" s="233">
        <v>1</v>
      </c>
      <c r="E25" s="233">
        <v>1.1000000000000001</v>
      </c>
      <c r="F25" s="240"/>
      <c r="G25" s="230">
        <f t="shared" si="0"/>
        <v>1.1611111111111112</v>
      </c>
    </row>
    <row r="26" spans="1:8" x14ac:dyDescent="0.2">
      <c r="A26" s="87">
        <v>20</v>
      </c>
      <c r="B26" s="146"/>
      <c r="C26" s="145"/>
      <c r="D26" s="145"/>
      <c r="E26" s="145"/>
      <c r="F26" s="147"/>
      <c r="G26" s="143"/>
    </row>
    <row r="27" spans="1:8" x14ac:dyDescent="0.2">
      <c r="A27" s="88">
        <v>21</v>
      </c>
      <c r="B27" s="146"/>
      <c r="C27" s="145"/>
      <c r="D27" s="145"/>
      <c r="E27" s="145"/>
      <c r="F27" s="147"/>
      <c r="G27" s="143"/>
    </row>
    <row r="28" spans="1:8" x14ac:dyDescent="0.2">
      <c r="A28" s="87">
        <v>22</v>
      </c>
      <c r="B28" s="146"/>
      <c r="C28" s="145"/>
      <c r="D28" s="145"/>
      <c r="E28" s="145"/>
      <c r="F28" s="147"/>
      <c r="G28" s="143"/>
    </row>
    <row r="29" spans="1:8" x14ac:dyDescent="0.2">
      <c r="A29" s="88">
        <v>23</v>
      </c>
      <c r="B29" s="146"/>
      <c r="C29" s="145"/>
      <c r="D29" s="145"/>
      <c r="E29" s="145"/>
      <c r="F29" s="147"/>
      <c r="G29" s="143"/>
    </row>
    <row r="30" spans="1:8" ht="16.5" thickBot="1" x14ac:dyDescent="0.25">
      <c r="A30" s="89">
        <v>24</v>
      </c>
      <c r="B30" s="148"/>
      <c r="C30" s="149"/>
      <c r="D30" s="149"/>
      <c r="E30" s="149"/>
      <c r="F30" s="150"/>
      <c r="G30" s="144"/>
    </row>
    <row r="32" spans="1:8" ht="116.25" customHeight="1" x14ac:dyDescent="0.2">
      <c r="A32" s="301" t="s">
        <v>87</v>
      </c>
      <c r="B32" s="301"/>
      <c r="C32" s="301"/>
      <c r="D32" s="301"/>
      <c r="E32" s="301"/>
      <c r="F32" s="301"/>
      <c r="G32" s="301"/>
    </row>
  </sheetData>
  <sheetProtection selectLockedCells="1" selectUnlockedCells="1"/>
  <mergeCells count="5">
    <mergeCell ref="A2:G2"/>
    <mergeCell ref="A32:G32"/>
    <mergeCell ref="A4:A5"/>
    <mergeCell ref="B4:B5"/>
    <mergeCell ref="G4:G5"/>
  </mergeCells>
  <pageMargins left="0.24" right="0.28999999999999998" top="0.52" bottom="0.74803149606299213" header="0.27" footer="0.51181102362204722"/>
  <pageSetup paperSize="9" scale="80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70" zoomScaleNormal="70" workbookViewId="0">
      <pane xSplit="23910" topLeftCell="GK1"/>
      <selection activeCell="H9" sqref="H9:H33"/>
      <selection pane="topRight" activeCell="GL28" sqref="GL28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9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28515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125"/>
      <c r="B1" s="125" t="s">
        <v>217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5" s="5" customFormat="1" ht="16.5" thickBot="1" x14ac:dyDescent="0.25"/>
    <row r="3" spans="1:195" s="35" customFormat="1" ht="34.5" customHeight="1" thickBot="1" x14ac:dyDescent="0.25">
      <c r="A3" s="320" t="s">
        <v>7</v>
      </c>
      <c r="B3" s="323" t="s">
        <v>58</v>
      </c>
      <c r="C3" s="326" t="s">
        <v>9</v>
      </c>
      <c r="D3" s="327"/>
      <c r="E3" s="327"/>
      <c r="F3" s="328"/>
      <c r="G3" s="338" t="s">
        <v>59</v>
      </c>
      <c r="H3" s="339"/>
      <c r="I3" s="339"/>
      <c r="J3" s="340"/>
      <c r="K3" s="346" t="s">
        <v>84</v>
      </c>
      <c r="L3" s="68" t="s">
        <v>51</v>
      </c>
      <c r="M3" s="343" t="s">
        <v>80</v>
      </c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4"/>
      <c r="AF3" s="344"/>
      <c r="AG3" s="344"/>
      <c r="AH3" s="344"/>
      <c r="AI3" s="344"/>
      <c r="AJ3" s="344"/>
      <c r="AK3" s="344"/>
      <c r="AL3" s="344"/>
      <c r="AM3" s="344"/>
      <c r="AN3" s="344"/>
      <c r="AO3" s="344"/>
      <c r="AP3" s="344"/>
      <c r="AQ3" s="344"/>
      <c r="AR3" s="344"/>
      <c r="AS3" s="344"/>
      <c r="AT3" s="344"/>
      <c r="AU3" s="344"/>
      <c r="AV3" s="344"/>
      <c r="AW3" s="344"/>
      <c r="AX3" s="344"/>
      <c r="AY3" s="344"/>
      <c r="AZ3" s="344"/>
      <c r="BA3" s="344"/>
      <c r="BB3" s="344"/>
      <c r="BC3" s="344"/>
      <c r="BD3" s="344"/>
      <c r="BE3" s="344"/>
      <c r="BF3" s="344"/>
      <c r="BG3" s="344"/>
      <c r="BH3" s="344"/>
      <c r="BI3" s="344"/>
      <c r="BJ3" s="344"/>
      <c r="BK3" s="344"/>
      <c r="BL3" s="344"/>
      <c r="BM3" s="344"/>
      <c r="BN3" s="344"/>
      <c r="BO3" s="344"/>
      <c r="BP3" s="344"/>
      <c r="BQ3" s="344"/>
      <c r="BR3" s="344"/>
      <c r="BS3" s="345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312" t="s">
        <v>85</v>
      </c>
      <c r="GK3" s="306" t="s">
        <v>86</v>
      </c>
      <c r="GL3" s="306" t="s">
        <v>214</v>
      </c>
      <c r="GM3" s="315" t="s">
        <v>83</v>
      </c>
    </row>
    <row r="4" spans="1:195" s="26" customFormat="1" ht="29.25" customHeight="1" x14ac:dyDescent="0.2">
      <c r="A4" s="321"/>
      <c r="B4" s="324"/>
      <c r="C4" s="331" t="s">
        <v>10</v>
      </c>
      <c r="D4" s="332"/>
      <c r="E4" s="331" t="s">
        <v>11</v>
      </c>
      <c r="F4" s="332"/>
      <c r="G4" s="334" t="s">
        <v>198</v>
      </c>
      <c r="H4" s="318" t="s">
        <v>12</v>
      </c>
      <c r="I4" s="318" t="s">
        <v>64</v>
      </c>
      <c r="J4" s="341" t="s">
        <v>67</v>
      </c>
      <c r="K4" s="347"/>
      <c r="L4" s="336" t="s">
        <v>81</v>
      </c>
      <c r="M4" s="309" t="s">
        <v>13</v>
      </c>
      <c r="N4" s="310"/>
      <c r="O4" s="310"/>
      <c r="P4" s="310"/>
      <c r="Q4" s="333"/>
      <c r="R4" s="309" t="s">
        <v>14</v>
      </c>
      <c r="S4" s="310"/>
      <c r="T4" s="310"/>
      <c r="U4" s="310"/>
      <c r="V4" s="310"/>
      <c r="W4" s="333"/>
      <c r="X4" s="309" t="s">
        <v>15</v>
      </c>
      <c r="Y4" s="310"/>
      <c r="Z4" s="310"/>
      <c r="AA4" s="310"/>
      <c r="AB4" s="310"/>
      <c r="AC4" s="333"/>
      <c r="AD4" s="309" t="s">
        <v>16</v>
      </c>
      <c r="AE4" s="310"/>
      <c r="AF4" s="310"/>
      <c r="AG4" s="310"/>
      <c r="AH4" s="310"/>
      <c r="AI4" s="333"/>
      <c r="AJ4" s="309" t="s">
        <v>17</v>
      </c>
      <c r="AK4" s="310"/>
      <c r="AL4" s="310"/>
      <c r="AM4" s="310"/>
      <c r="AN4" s="310"/>
      <c r="AO4" s="333"/>
      <c r="AP4" s="309" t="s">
        <v>18</v>
      </c>
      <c r="AQ4" s="310"/>
      <c r="AR4" s="310"/>
      <c r="AS4" s="310"/>
      <c r="AT4" s="310"/>
      <c r="AU4" s="333"/>
      <c r="AV4" s="309" t="s">
        <v>19</v>
      </c>
      <c r="AW4" s="310"/>
      <c r="AX4" s="310"/>
      <c r="AY4" s="310"/>
      <c r="AZ4" s="310"/>
      <c r="BA4" s="333"/>
      <c r="BB4" s="309" t="s">
        <v>20</v>
      </c>
      <c r="BC4" s="310"/>
      <c r="BD4" s="310"/>
      <c r="BE4" s="310"/>
      <c r="BF4" s="310"/>
      <c r="BG4" s="333"/>
      <c r="BH4" s="309" t="s">
        <v>21</v>
      </c>
      <c r="BI4" s="310"/>
      <c r="BJ4" s="310"/>
      <c r="BK4" s="310"/>
      <c r="BL4" s="310"/>
      <c r="BM4" s="333"/>
      <c r="BN4" s="309" t="s">
        <v>22</v>
      </c>
      <c r="BO4" s="310"/>
      <c r="BP4" s="310"/>
      <c r="BQ4" s="310"/>
      <c r="BR4" s="310"/>
      <c r="BS4" s="311"/>
      <c r="BT4" s="309" t="s">
        <v>89</v>
      </c>
      <c r="BU4" s="310"/>
      <c r="BV4" s="310"/>
      <c r="BW4" s="310"/>
      <c r="BX4" s="310"/>
      <c r="BY4" s="311"/>
      <c r="BZ4" s="309" t="s">
        <v>92</v>
      </c>
      <c r="CA4" s="310"/>
      <c r="CB4" s="310"/>
      <c r="CC4" s="310"/>
      <c r="CD4" s="310"/>
      <c r="CE4" s="311"/>
      <c r="CF4" s="309" t="s">
        <v>93</v>
      </c>
      <c r="CG4" s="310"/>
      <c r="CH4" s="310"/>
      <c r="CI4" s="310"/>
      <c r="CJ4" s="310"/>
      <c r="CK4" s="311"/>
      <c r="CL4" s="309" t="s">
        <v>98</v>
      </c>
      <c r="CM4" s="310"/>
      <c r="CN4" s="310"/>
      <c r="CO4" s="310"/>
      <c r="CP4" s="310"/>
      <c r="CQ4" s="311"/>
      <c r="CR4" s="309" t="s">
        <v>101</v>
      </c>
      <c r="CS4" s="310"/>
      <c r="CT4" s="310"/>
      <c r="CU4" s="310"/>
      <c r="CV4" s="310"/>
      <c r="CW4" s="311"/>
      <c r="CX4" s="309" t="s">
        <v>104</v>
      </c>
      <c r="CY4" s="310"/>
      <c r="CZ4" s="310"/>
      <c r="DA4" s="310"/>
      <c r="DB4" s="310"/>
      <c r="DC4" s="311"/>
      <c r="DD4" s="309" t="s">
        <v>107</v>
      </c>
      <c r="DE4" s="310"/>
      <c r="DF4" s="310"/>
      <c r="DG4" s="310"/>
      <c r="DH4" s="310"/>
      <c r="DI4" s="311"/>
      <c r="DJ4" s="309" t="s">
        <v>110</v>
      </c>
      <c r="DK4" s="310"/>
      <c r="DL4" s="310"/>
      <c r="DM4" s="310"/>
      <c r="DN4" s="310"/>
      <c r="DO4" s="311"/>
      <c r="DP4" s="309" t="s">
        <v>113</v>
      </c>
      <c r="DQ4" s="310"/>
      <c r="DR4" s="310"/>
      <c r="DS4" s="310"/>
      <c r="DT4" s="310"/>
      <c r="DU4" s="311"/>
      <c r="DV4" s="309" t="s">
        <v>116</v>
      </c>
      <c r="DW4" s="310"/>
      <c r="DX4" s="310"/>
      <c r="DY4" s="310"/>
      <c r="DZ4" s="310"/>
      <c r="EA4" s="311"/>
      <c r="EB4" s="309" t="s">
        <v>138</v>
      </c>
      <c r="EC4" s="310"/>
      <c r="ED4" s="310"/>
      <c r="EE4" s="310"/>
      <c r="EF4" s="310"/>
      <c r="EG4" s="311"/>
      <c r="EH4" s="309" t="s">
        <v>142</v>
      </c>
      <c r="EI4" s="310"/>
      <c r="EJ4" s="310"/>
      <c r="EK4" s="310"/>
      <c r="EL4" s="310"/>
      <c r="EM4" s="311"/>
      <c r="EN4" s="309" t="s">
        <v>146</v>
      </c>
      <c r="EO4" s="310"/>
      <c r="EP4" s="310"/>
      <c r="EQ4" s="310"/>
      <c r="ER4" s="310"/>
      <c r="ES4" s="311"/>
      <c r="ET4" s="309" t="s">
        <v>150</v>
      </c>
      <c r="EU4" s="310"/>
      <c r="EV4" s="310"/>
      <c r="EW4" s="310"/>
      <c r="EX4" s="310"/>
      <c r="EY4" s="311"/>
      <c r="EZ4" s="309" t="s">
        <v>154</v>
      </c>
      <c r="FA4" s="310"/>
      <c r="FB4" s="310"/>
      <c r="FC4" s="310"/>
      <c r="FD4" s="310"/>
      <c r="FE4" s="311"/>
      <c r="FF4" s="309" t="s">
        <v>158</v>
      </c>
      <c r="FG4" s="310"/>
      <c r="FH4" s="310"/>
      <c r="FI4" s="310"/>
      <c r="FJ4" s="310"/>
      <c r="FK4" s="311"/>
      <c r="FL4" s="309" t="s">
        <v>162</v>
      </c>
      <c r="FM4" s="310"/>
      <c r="FN4" s="310"/>
      <c r="FO4" s="310"/>
      <c r="FP4" s="310"/>
      <c r="FQ4" s="311"/>
      <c r="FR4" s="309" t="s">
        <v>166</v>
      </c>
      <c r="FS4" s="310"/>
      <c r="FT4" s="310"/>
      <c r="FU4" s="310"/>
      <c r="FV4" s="310"/>
      <c r="FW4" s="311"/>
      <c r="FX4" s="309" t="s">
        <v>170</v>
      </c>
      <c r="FY4" s="310"/>
      <c r="FZ4" s="310"/>
      <c r="GA4" s="310"/>
      <c r="GB4" s="310"/>
      <c r="GC4" s="311"/>
      <c r="GD4" s="309" t="s">
        <v>173</v>
      </c>
      <c r="GE4" s="310"/>
      <c r="GF4" s="310"/>
      <c r="GG4" s="310"/>
      <c r="GH4" s="310"/>
      <c r="GI4" s="311"/>
      <c r="GJ4" s="313"/>
      <c r="GK4" s="307"/>
      <c r="GL4" s="307"/>
      <c r="GM4" s="316"/>
    </row>
    <row r="5" spans="1:195" s="26" customFormat="1" ht="246" customHeight="1" thickBot="1" x14ac:dyDescent="0.25">
      <c r="A5" s="321"/>
      <c r="B5" s="325"/>
      <c r="C5" s="329" t="s">
        <v>70</v>
      </c>
      <c r="D5" s="330"/>
      <c r="E5" s="329" t="s">
        <v>78</v>
      </c>
      <c r="F5" s="330"/>
      <c r="G5" s="335"/>
      <c r="H5" s="319"/>
      <c r="I5" s="319"/>
      <c r="J5" s="342"/>
      <c r="K5" s="348"/>
      <c r="L5" s="337"/>
      <c r="M5" s="65" t="s">
        <v>57</v>
      </c>
      <c r="N5" s="133" t="s">
        <v>128</v>
      </c>
      <c r="O5" s="66" t="s">
        <v>65</v>
      </c>
      <c r="P5" s="66" t="s">
        <v>82</v>
      </c>
      <c r="Q5" s="67" t="s">
        <v>23</v>
      </c>
      <c r="R5" s="65" t="s">
        <v>24</v>
      </c>
      <c r="S5" s="133" t="s">
        <v>129</v>
      </c>
      <c r="T5" s="66" t="s">
        <v>57</v>
      </c>
      <c r="U5" s="66" t="s">
        <v>65</v>
      </c>
      <c r="V5" s="66" t="s">
        <v>82</v>
      </c>
      <c r="W5" s="67" t="s">
        <v>25</v>
      </c>
      <c r="X5" s="65" t="s">
        <v>26</v>
      </c>
      <c r="Y5" s="133" t="s">
        <v>130</v>
      </c>
      <c r="Z5" s="66" t="s">
        <v>57</v>
      </c>
      <c r="AA5" s="66" t="s">
        <v>65</v>
      </c>
      <c r="AB5" s="66" t="s">
        <v>82</v>
      </c>
      <c r="AC5" s="67" t="s">
        <v>27</v>
      </c>
      <c r="AD5" s="65" t="s">
        <v>28</v>
      </c>
      <c r="AE5" s="133" t="s">
        <v>131</v>
      </c>
      <c r="AF5" s="66" t="s">
        <v>57</v>
      </c>
      <c r="AG5" s="66" t="s">
        <v>65</v>
      </c>
      <c r="AH5" s="66" t="s">
        <v>82</v>
      </c>
      <c r="AI5" s="67" t="s">
        <v>29</v>
      </c>
      <c r="AJ5" s="65" t="s">
        <v>30</v>
      </c>
      <c r="AK5" s="133" t="s">
        <v>132</v>
      </c>
      <c r="AL5" s="66" t="s">
        <v>57</v>
      </c>
      <c r="AM5" s="66" t="s">
        <v>65</v>
      </c>
      <c r="AN5" s="66" t="s">
        <v>82</v>
      </c>
      <c r="AO5" s="67" t="s">
        <v>31</v>
      </c>
      <c r="AP5" s="65" t="s">
        <v>32</v>
      </c>
      <c r="AQ5" s="133" t="s">
        <v>133</v>
      </c>
      <c r="AR5" s="66" t="s">
        <v>57</v>
      </c>
      <c r="AS5" s="66" t="s">
        <v>65</v>
      </c>
      <c r="AT5" s="66" t="s">
        <v>82</v>
      </c>
      <c r="AU5" s="67" t="s">
        <v>33</v>
      </c>
      <c r="AV5" s="65" t="s">
        <v>34</v>
      </c>
      <c r="AW5" s="133" t="s">
        <v>134</v>
      </c>
      <c r="AX5" s="66" t="s">
        <v>57</v>
      </c>
      <c r="AY5" s="66" t="s">
        <v>65</v>
      </c>
      <c r="AZ5" s="66" t="s">
        <v>82</v>
      </c>
      <c r="BA5" s="67" t="s">
        <v>35</v>
      </c>
      <c r="BB5" s="65" t="s">
        <v>36</v>
      </c>
      <c r="BC5" s="133" t="s">
        <v>135</v>
      </c>
      <c r="BD5" s="66" t="s">
        <v>57</v>
      </c>
      <c r="BE5" s="66" t="s">
        <v>65</v>
      </c>
      <c r="BF5" s="66" t="s">
        <v>82</v>
      </c>
      <c r="BG5" s="67" t="s">
        <v>37</v>
      </c>
      <c r="BH5" s="65" t="s">
        <v>38</v>
      </c>
      <c r="BI5" s="133" t="s">
        <v>136</v>
      </c>
      <c r="BJ5" s="66" t="s">
        <v>57</v>
      </c>
      <c r="BK5" s="66" t="s">
        <v>65</v>
      </c>
      <c r="BL5" s="66" t="s">
        <v>82</v>
      </c>
      <c r="BM5" s="67" t="s">
        <v>39</v>
      </c>
      <c r="BN5" s="65" t="s">
        <v>40</v>
      </c>
      <c r="BO5" s="133" t="s">
        <v>137</v>
      </c>
      <c r="BP5" s="66" t="s">
        <v>57</v>
      </c>
      <c r="BQ5" s="66" t="s">
        <v>65</v>
      </c>
      <c r="BR5" s="66" t="s">
        <v>82</v>
      </c>
      <c r="BS5" s="81" t="s">
        <v>41</v>
      </c>
      <c r="BT5" s="65" t="s">
        <v>90</v>
      </c>
      <c r="BU5" s="133" t="s">
        <v>119</v>
      </c>
      <c r="BV5" s="131" t="s">
        <v>57</v>
      </c>
      <c r="BW5" s="131" t="s">
        <v>65</v>
      </c>
      <c r="BX5" s="131" t="s">
        <v>82</v>
      </c>
      <c r="BY5" s="132" t="s">
        <v>91</v>
      </c>
      <c r="BZ5" s="65" t="s">
        <v>94</v>
      </c>
      <c r="CA5" s="133" t="s">
        <v>120</v>
      </c>
      <c r="CB5" s="131" t="s">
        <v>57</v>
      </c>
      <c r="CC5" s="131" t="s">
        <v>65</v>
      </c>
      <c r="CD5" s="131" t="s">
        <v>82</v>
      </c>
      <c r="CE5" s="132" t="s">
        <v>95</v>
      </c>
      <c r="CF5" s="65" t="s">
        <v>96</v>
      </c>
      <c r="CG5" s="133" t="s">
        <v>121</v>
      </c>
      <c r="CH5" s="131" t="s">
        <v>57</v>
      </c>
      <c r="CI5" s="131" t="s">
        <v>65</v>
      </c>
      <c r="CJ5" s="131" t="s">
        <v>82</v>
      </c>
      <c r="CK5" s="132" t="s">
        <v>97</v>
      </c>
      <c r="CL5" s="65" t="s">
        <v>99</v>
      </c>
      <c r="CM5" s="133" t="s">
        <v>122</v>
      </c>
      <c r="CN5" s="131" t="s">
        <v>57</v>
      </c>
      <c r="CO5" s="131" t="s">
        <v>65</v>
      </c>
      <c r="CP5" s="131" t="s">
        <v>82</v>
      </c>
      <c r="CQ5" s="132" t="s">
        <v>100</v>
      </c>
      <c r="CR5" s="65" t="s">
        <v>102</v>
      </c>
      <c r="CS5" s="133" t="s">
        <v>123</v>
      </c>
      <c r="CT5" s="131" t="s">
        <v>57</v>
      </c>
      <c r="CU5" s="131" t="s">
        <v>65</v>
      </c>
      <c r="CV5" s="131" t="s">
        <v>82</v>
      </c>
      <c r="CW5" s="132" t="s">
        <v>103</v>
      </c>
      <c r="CX5" s="65" t="s">
        <v>105</v>
      </c>
      <c r="CY5" s="133" t="s">
        <v>124</v>
      </c>
      <c r="CZ5" s="131" t="s">
        <v>57</v>
      </c>
      <c r="DA5" s="131" t="s">
        <v>65</v>
      </c>
      <c r="DB5" s="131" t="s">
        <v>82</v>
      </c>
      <c r="DC5" s="132" t="s">
        <v>106</v>
      </c>
      <c r="DD5" s="65" t="s">
        <v>108</v>
      </c>
      <c r="DE5" s="133" t="s">
        <v>125</v>
      </c>
      <c r="DF5" s="131" t="s">
        <v>57</v>
      </c>
      <c r="DG5" s="131" t="s">
        <v>65</v>
      </c>
      <c r="DH5" s="131" t="s">
        <v>82</v>
      </c>
      <c r="DI5" s="132" t="s">
        <v>109</v>
      </c>
      <c r="DJ5" s="65" t="s">
        <v>111</v>
      </c>
      <c r="DK5" s="131" t="s">
        <v>66</v>
      </c>
      <c r="DL5" s="131" t="s">
        <v>57</v>
      </c>
      <c r="DM5" s="131" t="s">
        <v>65</v>
      </c>
      <c r="DN5" s="131" t="s">
        <v>82</v>
      </c>
      <c r="DO5" s="132" t="s">
        <v>112</v>
      </c>
      <c r="DP5" s="65" t="s">
        <v>114</v>
      </c>
      <c r="DQ5" s="133" t="s">
        <v>126</v>
      </c>
      <c r="DR5" s="131" t="s">
        <v>57</v>
      </c>
      <c r="DS5" s="131" t="s">
        <v>65</v>
      </c>
      <c r="DT5" s="131" t="s">
        <v>82</v>
      </c>
      <c r="DU5" s="132" t="s">
        <v>115</v>
      </c>
      <c r="DV5" s="65" t="s">
        <v>118</v>
      </c>
      <c r="DW5" s="133" t="s">
        <v>127</v>
      </c>
      <c r="DX5" s="131" t="s">
        <v>57</v>
      </c>
      <c r="DY5" s="131" t="s">
        <v>65</v>
      </c>
      <c r="DZ5" s="131" t="s">
        <v>82</v>
      </c>
      <c r="EA5" s="132" t="s">
        <v>117</v>
      </c>
      <c r="EB5" s="65" t="s">
        <v>139</v>
      </c>
      <c r="EC5" s="134" t="s">
        <v>140</v>
      </c>
      <c r="ED5" s="134" t="s">
        <v>57</v>
      </c>
      <c r="EE5" s="134" t="s">
        <v>65</v>
      </c>
      <c r="EF5" s="134" t="s">
        <v>82</v>
      </c>
      <c r="EG5" s="135" t="s">
        <v>141</v>
      </c>
      <c r="EH5" s="65" t="s">
        <v>143</v>
      </c>
      <c r="EI5" s="134" t="s">
        <v>144</v>
      </c>
      <c r="EJ5" s="134" t="s">
        <v>57</v>
      </c>
      <c r="EK5" s="134" t="s">
        <v>65</v>
      </c>
      <c r="EL5" s="134" t="s">
        <v>82</v>
      </c>
      <c r="EM5" s="135" t="s">
        <v>145</v>
      </c>
      <c r="EN5" s="65" t="s">
        <v>147</v>
      </c>
      <c r="EO5" s="134" t="s">
        <v>148</v>
      </c>
      <c r="EP5" s="134" t="s">
        <v>57</v>
      </c>
      <c r="EQ5" s="134" t="s">
        <v>65</v>
      </c>
      <c r="ER5" s="134" t="s">
        <v>82</v>
      </c>
      <c r="ES5" s="135" t="s">
        <v>149</v>
      </c>
      <c r="ET5" s="65" t="s">
        <v>151</v>
      </c>
      <c r="EU5" s="134" t="s">
        <v>152</v>
      </c>
      <c r="EV5" s="134" t="s">
        <v>57</v>
      </c>
      <c r="EW5" s="134" t="s">
        <v>65</v>
      </c>
      <c r="EX5" s="134" t="s">
        <v>82</v>
      </c>
      <c r="EY5" s="135" t="s">
        <v>153</v>
      </c>
      <c r="EZ5" s="65" t="s">
        <v>155</v>
      </c>
      <c r="FA5" s="134" t="s">
        <v>156</v>
      </c>
      <c r="FB5" s="134" t="s">
        <v>57</v>
      </c>
      <c r="FC5" s="134" t="s">
        <v>65</v>
      </c>
      <c r="FD5" s="134" t="s">
        <v>82</v>
      </c>
      <c r="FE5" s="135" t="s">
        <v>157</v>
      </c>
      <c r="FF5" s="65" t="s">
        <v>159</v>
      </c>
      <c r="FG5" s="134" t="s">
        <v>160</v>
      </c>
      <c r="FH5" s="134" t="s">
        <v>57</v>
      </c>
      <c r="FI5" s="134" t="s">
        <v>65</v>
      </c>
      <c r="FJ5" s="134" t="s">
        <v>82</v>
      </c>
      <c r="FK5" s="135" t="s">
        <v>161</v>
      </c>
      <c r="FL5" s="65" t="s">
        <v>163</v>
      </c>
      <c r="FM5" s="134" t="s">
        <v>164</v>
      </c>
      <c r="FN5" s="134" t="s">
        <v>57</v>
      </c>
      <c r="FO5" s="134" t="s">
        <v>65</v>
      </c>
      <c r="FP5" s="134" t="s">
        <v>82</v>
      </c>
      <c r="FQ5" s="135" t="s">
        <v>165</v>
      </c>
      <c r="FR5" s="65" t="s">
        <v>167</v>
      </c>
      <c r="FS5" s="134" t="s">
        <v>168</v>
      </c>
      <c r="FT5" s="134" t="s">
        <v>57</v>
      </c>
      <c r="FU5" s="134" t="s">
        <v>65</v>
      </c>
      <c r="FV5" s="134" t="s">
        <v>82</v>
      </c>
      <c r="FW5" s="135" t="s">
        <v>169</v>
      </c>
      <c r="FX5" s="65" t="s">
        <v>171</v>
      </c>
      <c r="FY5" s="134" t="s">
        <v>175</v>
      </c>
      <c r="FZ5" s="134" t="s">
        <v>57</v>
      </c>
      <c r="GA5" s="134" t="s">
        <v>65</v>
      </c>
      <c r="GB5" s="134" t="s">
        <v>82</v>
      </c>
      <c r="GC5" s="135" t="s">
        <v>172</v>
      </c>
      <c r="GD5" s="65" t="s">
        <v>174</v>
      </c>
      <c r="GE5" s="134" t="s">
        <v>176</v>
      </c>
      <c r="GF5" s="134" t="s">
        <v>57</v>
      </c>
      <c r="GG5" s="134" t="s">
        <v>65</v>
      </c>
      <c r="GH5" s="134" t="s">
        <v>82</v>
      </c>
      <c r="GI5" s="135" t="s">
        <v>177</v>
      </c>
      <c r="GJ5" s="314"/>
      <c r="GK5" s="308"/>
      <c r="GL5" s="308"/>
      <c r="GM5" s="317"/>
    </row>
    <row r="6" spans="1:195" s="26" customFormat="1" ht="19.5" thickBot="1" x14ac:dyDescent="0.25">
      <c r="A6" s="322"/>
      <c r="B6" s="99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74</v>
      </c>
      <c r="J6" s="106" t="s">
        <v>69</v>
      </c>
      <c r="K6" s="111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06" t="s">
        <v>52</v>
      </c>
      <c r="BT6" s="70" t="s">
        <v>46</v>
      </c>
      <c r="BU6" s="63" t="s">
        <v>55</v>
      </c>
      <c r="BV6" s="63" t="s">
        <v>47</v>
      </c>
      <c r="BW6" s="63" t="s">
        <v>88</v>
      </c>
      <c r="BX6" s="63" t="s">
        <v>53</v>
      </c>
      <c r="BY6" s="106" t="s">
        <v>52</v>
      </c>
      <c r="BZ6" s="70" t="s">
        <v>46</v>
      </c>
      <c r="CA6" s="63" t="s">
        <v>55</v>
      </c>
      <c r="CB6" s="63" t="s">
        <v>47</v>
      </c>
      <c r="CC6" s="63" t="s">
        <v>88</v>
      </c>
      <c r="CD6" s="63" t="s">
        <v>53</v>
      </c>
      <c r="CE6" s="106" t="s">
        <v>52</v>
      </c>
      <c r="CF6" s="70" t="s">
        <v>46</v>
      </c>
      <c r="CG6" s="63" t="s">
        <v>55</v>
      </c>
      <c r="CH6" s="63" t="s">
        <v>47</v>
      </c>
      <c r="CI6" s="63" t="s">
        <v>88</v>
      </c>
      <c r="CJ6" s="63" t="s">
        <v>53</v>
      </c>
      <c r="CK6" s="106" t="s">
        <v>52</v>
      </c>
      <c r="CL6" s="70" t="s">
        <v>46</v>
      </c>
      <c r="CM6" s="63" t="s">
        <v>55</v>
      </c>
      <c r="CN6" s="63" t="s">
        <v>47</v>
      </c>
      <c r="CO6" s="63" t="s">
        <v>88</v>
      </c>
      <c r="CP6" s="63" t="s">
        <v>53</v>
      </c>
      <c r="CQ6" s="106" t="s">
        <v>52</v>
      </c>
      <c r="CR6" s="70" t="s">
        <v>46</v>
      </c>
      <c r="CS6" s="63" t="s">
        <v>55</v>
      </c>
      <c r="CT6" s="63" t="s">
        <v>47</v>
      </c>
      <c r="CU6" s="63" t="s">
        <v>88</v>
      </c>
      <c r="CV6" s="63" t="s">
        <v>53</v>
      </c>
      <c r="CW6" s="106" t="s">
        <v>52</v>
      </c>
      <c r="CX6" s="70" t="s">
        <v>46</v>
      </c>
      <c r="CY6" s="63" t="s">
        <v>55</v>
      </c>
      <c r="CZ6" s="63" t="s">
        <v>47</v>
      </c>
      <c r="DA6" s="63" t="s">
        <v>88</v>
      </c>
      <c r="DB6" s="63" t="s">
        <v>53</v>
      </c>
      <c r="DC6" s="106" t="s">
        <v>52</v>
      </c>
      <c r="DD6" s="70" t="s">
        <v>46</v>
      </c>
      <c r="DE6" s="63" t="s">
        <v>55</v>
      </c>
      <c r="DF6" s="63" t="s">
        <v>47</v>
      </c>
      <c r="DG6" s="63" t="s">
        <v>88</v>
      </c>
      <c r="DH6" s="63" t="s">
        <v>53</v>
      </c>
      <c r="DI6" s="106" t="s">
        <v>52</v>
      </c>
      <c r="DJ6" s="70" t="s">
        <v>46</v>
      </c>
      <c r="DK6" s="63" t="s">
        <v>55</v>
      </c>
      <c r="DL6" s="63" t="s">
        <v>47</v>
      </c>
      <c r="DM6" s="63" t="s">
        <v>88</v>
      </c>
      <c r="DN6" s="63" t="s">
        <v>53</v>
      </c>
      <c r="DO6" s="106" t="s">
        <v>52</v>
      </c>
      <c r="DP6" s="70" t="s">
        <v>46</v>
      </c>
      <c r="DQ6" s="63" t="s">
        <v>55</v>
      </c>
      <c r="DR6" s="63" t="s">
        <v>47</v>
      </c>
      <c r="DS6" s="63" t="s">
        <v>88</v>
      </c>
      <c r="DT6" s="63" t="s">
        <v>53</v>
      </c>
      <c r="DU6" s="106" t="s">
        <v>52</v>
      </c>
      <c r="DV6" s="70" t="s">
        <v>46</v>
      </c>
      <c r="DW6" s="63" t="s">
        <v>55</v>
      </c>
      <c r="DX6" s="63" t="s">
        <v>47</v>
      </c>
      <c r="DY6" s="63" t="s">
        <v>88</v>
      </c>
      <c r="DZ6" s="63" t="s">
        <v>53</v>
      </c>
      <c r="EA6" s="106" t="s">
        <v>52</v>
      </c>
      <c r="EB6" s="70" t="s">
        <v>46</v>
      </c>
      <c r="EC6" s="63" t="s">
        <v>55</v>
      </c>
      <c r="ED6" s="63" t="s">
        <v>47</v>
      </c>
      <c r="EE6" s="63" t="s">
        <v>88</v>
      </c>
      <c r="EF6" s="63" t="s">
        <v>53</v>
      </c>
      <c r="EG6" s="106" t="s">
        <v>52</v>
      </c>
      <c r="EH6" s="70" t="s">
        <v>46</v>
      </c>
      <c r="EI6" s="63" t="s">
        <v>55</v>
      </c>
      <c r="EJ6" s="63" t="s">
        <v>47</v>
      </c>
      <c r="EK6" s="63" t="s">
        <v>88</v>
      </c>
      <c r="EL6" s="63" t="s">
        <v>53</v>
      </c>
      <c r="EM6" s="106" t="s">
        <v>52</v>
      </c>
      <c r="EN6" s="70" t="s">
        <v>46</v>
      </c>
      <c r="EO6" s="63" t="s">
        <v>55</v>
      </c>
      <c r="EP6" s="63" t="s">
        <v>47</v>
      </c>
      <c r="EQ6" s="63" t="s">
        <v>88</v>
      </c>
      <c r="ER6" s="63" t="s">
        <v>53</v>
      </c>
      <c r="ES6" s="106" t="s">
        <v>52</v>
      </c>
      <c r="ET6" s="70" t="s">
        <v>46</v>
      </c>
      <c r="EU6" s="63" t="s">
        <v>55</v>
      </c>
      <c r="EV6" s="63" t="s">
        <v>47</v>
      </c>
      <c r="EW6" s="63" t="s">
        <v>88</v>
      </c>
      <c r="EX6" s="63" t="s">
        <v>53</v>
      </c>
      <c r="EY6" s="106" t="s">
        <v>52</v>
      </c>
      <c r="EZ6" s="70" t="s">
        <v>46</v>
      </c>
      <c r="FA6" s="63" t="s">
        <v>55</v>
      </c>
      <c r="FB6" s="63" t="s">
        <v>47</v>
      </c>
      <c r="FC6" s="63" t="s">
        <v>88</v>
      </c>
      <c r="FD6" s="63" t="s">
        <v>53</v>
      </c>
      <c r="FE6" s="106" t="s">
        <v>52</v>
      </c>
      <c r="FF6" s="70" t="s">
        <v>46</v>
      </c>
      <c r="FG6" s="63" t="s">
        <v>55</v>
      </c>
      <c r="FH6" s="63" t="s">
        <v>47</v>
      </c>
      <c r="FI6" s="63" t="s">
        <v>88</v>
      </c>
      <c r="FJ6" s="63" t="s">
        <v>53</v>
      </c>
      <c r="FK6" s="106" t="s">
        <v>52</v>
      </c>
      <c r="FL6" s="70" t="s">
        <v>46</v>
      </c>
      <c r="FM6" s="63" t="s">
        <v>55</v>
      </c>
      <c r="FN6" s="63" t="s">
        <v>47</v>
      </c>
      <c r="FO6" s="63" t="s">
        <v>88</v>
      </c>
      <c r="FP6" s="63" t="s">
        <v>53</v>
      </c>
      <c r="FQ6" s="106" t="s">
        <v>52</v>
      </c>
      <c r="FR6" s="70" t="s">
        <v>46</v>
      </c>
      <c r="FS6" s="63" t="s">
        <v>55</v>
      </c>
      <c r="FT6" s="63" t="s">
        <v>47</v>
      </c>
      <c r="FU6" s="63" t="s">
        <v>88</v>
      </c>
      <c r="FV6" s="63" t="s">
        <v>53</v>
      </c>
      <c r="FW6" s="106" t="s">
        <v>52</v>
      </c>
      <c r="FX6" s="70" t="s">
        <v>46</v>
      </c>
      <c r="FY6" s="63" t="s">
        <v>55</v>
      </c>
      <c r="FZ6" s="63" t="s">
        <v>47</v>
      </c>
      <c r="GA6" s="63" t="s">
        <v>88</v>
      </c>
      <c r="GB6" s="63" t="s">
        <v>53</v>
      </c>
      <c r="GC6" s="106" t="s">
        <v>52</v>
      </c>
      <c r="GD6" s="70" t="s">
        <v>46</v>
      </c>
      <c r="GE6" s="63" t="s">
        <v>55</v>
      </c>
      <c r="GF6" s="63" t="s">
        <v>47</v>
      </c>
      <c r="GG6" s="63" t="s">
        <v>88</v>
      </c>
      <c r="GH6" s="63" t="s">
        <v>53</v>
      </c>
      <c r="GI6" s="106" t="s">
        <v>52</v>
      </c>
      <c r="GJ6" s="181" t="s">
        <v>52</v>
      </c>
      <c r="GK6" s="179" t="s">
        <v>60</v>
      </c>
      <c r="GL6" s="276" t="s">
        <v>215</v>
      </c>
      <c r="GM6" s="82" t="s">
        <v>79</v>
      </c>
    </row>
    <row r="7" spans="1:195" s="27" customFormat="1" thickBot="1" x14ac:dyDescent="0.25">
      <c r="A7" s="96">
        <v>1</v>
      </c>
      <c r="B7" s="100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95">
        <f>F7+1</f>
        <v>7</v>
      </c>
      <c r="H7" s="60">
        <f t="shared" si="0"/>
        <v>8</v>
      </c>
      <c r="I7" s="60">
        <f t="shared" ref="I7:L7" si="1">H7+1</f>
        <v>9</v>
      </c>
      <c r="J7" s="107">
        <f>I7+1</f>
        <v>10</v>
      </c>
      <c r="K7" s="112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07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07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07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07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07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07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07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07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07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07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07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07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07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07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07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07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07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07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07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07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07">
        <f t="shared" ref="GI7" si="103">GH7+1</f>
        <v>191</v>
      </c>
      <c r="GJ7" s="61">
        <f>GI7+1</f>
        <v>192</v>
      </c>
      <c r="GK7" s="180">
        <f>GJ7+1</f>
        <v>193</v>
      </c>
      <c r="GL7" s="277">
        <v>194</v>
      </c>
      <c r="GM7" s="83">
        <v>195</v>
      </c>
    </row>
    <row r="8" spans="1:195" s="28" customFormat="1" thickBot="1" x14ac:dyDescent="0.25">
      <c r="A8" s="97" t="s">
        <v>3</v>
      </c>
      <c r="B8" s="101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08" t="s">
        <v>68</v>
      </c>
      <c r="K8" s="113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08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08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08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08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08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08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08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08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08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08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87" t="s">
        <v>4</v>
      </c>
      <c r="EA8" s="108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87" t="s">
        <v>4</v>
      </c>
      <c r="EG8" s="108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87" t="s">
        <v>4</v>
      </c>
      <c r="EM8" s="108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87" t="s">
        <v>4</v>
      </c>
      <c r="EY8" s="108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87" t="s">
        <v>4</v>
      </c>
      <c r="FE8" s="108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87" t="s">
        <v>4</v>
      </c>
      <c r="FK8" s="108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87" t="s">
        <v>4</v>
      </c>
      <c r="FQ8" s="108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87" t="s">
        <v>4</v>
      </c>
      <c r="FW8" s="108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87" t="s">
        <v>4</v>
      </c>
      <c r="GC8" s="108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87" t="s">
        <v>4</v>
      </c>
      <c r="GI8" s="108" t="s">
        <v>4</v>
      </c>
      <c r="GJ8" s="183" t="s">
        <v>4</v>
      </c>
      <c r="GK8" s="182" t="s">
        <v>4</v>
      </c>
      <c r="GL8" s="278" t="s">
        <v>4</v>
      </c>
      <c r="GM8" s="84" t="s">
        <v>50</v>
      </c>
    </row>
    <row r="9" spans="1:195" s="25" customFormat="1" x14ac:dyDescent="0.25">
      <c r="A9" s="243" t="s">
        <v>178</v>
      </c>
      <c r="B9" s="164" t="s">
        <v>8</v>
      </c>
      <c r="C9" s="164" t="s">
        <v>8</v>
      </c>
      <c r="D9" s="164" t="s">
        <v>8</v>
      </c>
      <c r="E9" s="164" t="s">
        <v>8</v>
      </c>
      <c r="F9" s="164" t="s">
        <v>8</v>
      </c>
      <c r="G9" s="102">
        <f>'Исходные данные'!C11</f>
        <v>1971</v>
      </c>
      <c r="H9" s="52">
        <f>'Исходные данные'!D11</f>
        <v>1508785.13</v>
      </c>
      <c r="I9" s="49">
        <f>'Расчет КРП'!G7</f>
        <v>2.402784915762981</v>
      </c>
      <c r="J9" s="109" t="s">
        <v>8</v>
      </c>
      <c r="K9" s="167">
        <f t="shared" ref="K9:K27" si="104">((H9/G9)/($H$33/$G$33))/I9</f>
        <v>0.24346810616329714</v>
      </c>
      <c r="L9" s="168">
        <f t="shared" ref="L9:L27" si="105">$D$33*G9/$G$33</f>
        <v>1155204.9426317024</v>
      </c>
      <c r="M9" s="172">
        <f t="shared" ref="M9:M27" si="106">(((H9+L9)/G9)/$J$33)/I9</f>
        <v>0.42988004383464795</v>
      </c>
      <c r="N9" s="173" t="s">
        <v>8</v>
      </c>
      <c r="O9" s="174">
        <f t="shared" ref="O9:O27" si="107">$N$33-M9</f>
        <v>1.4617700451840021E-2</v>
      </c>
      <c r="P9" s="188">
        <f>IF(O9&gt;0,G9*I9*(($H$33+$L$33)/$G$33)*O9,0)</f>
        <v>131161.16965157643</v>
      </c>
      <c r="Q9" s="175">
        <f t="shared" ref="Q9:Q27" si="108">IF(($F$33-P$33)&gt;0,P9,$F$33*P9/P$33)</f>
        <v>131161.16965157643</v>
      </c>
      <c r="R9" s="169" t="s">
        <v>8</v>
      </c>
      <c r="S9" s="48" t="s">
        <v>8</v>
      </c>
      <c r="T9" s="51">
        <f t="shared" ref="T9:T21" si="109">(((H9+L9+Q9)/G9)/$J$33)/I9</f>
        <v>0.45104512621932935</v>
      </c>
      <c r="U9" s="50">
        <f t="shared" ref="U9:U21" si="110">S$33-T9</f>
        <v>0.1132636552955012</v>
      </c>
      <c r="V9" s="52">
        <f>IF(U9&gt;0,$G9*$I9*(($H$33+$L$33+$Q$33)/$G$33)*U9,0)</f>
        <v>1146428.0601048286</v>
      </c>
      <c r="W9" s="78">
        <f t="shared" ref="W9:W21" si="111">IF((R$33-V$33)&gt;0,V9,R$33*V9/V$33)</f>
        <v>1146428.0601048286</v>
      </c>
      <c r="X9" s="74" t="s">
        <v>8</v>
      </c>
      <c r="Y9" s="48" t="s">
        <v>8</v>
      </c>
      <c r="Z9" s="51">
        <f t="shared" ref="Z9:Z21" si="112">(((H9+L9+Q9+W9)/G9)/$J$33)/I9</f>
        <v>0.63604076482705152</v>
      </c>
      <c r="AA9" s="50">
        <f t="shared" ref="AA9:AA21" si="113">Y$33-Z9</f>
        <v>8.8609403907052853E-3</v>
      </c>
      <c r="AB9" s="52">
        <f>IF(AA9&gt;0,$G9*$I9*(($H$33+$L$33+$Q$33+$W$33)/$G$33)*AA9,0)</f>
        <v>96817.150375738216</v>
      </c>
      <c r="AC9" s="78">
        <f t="shared" ref="AC9:AC21" si="114">IF((X$33-AB$33)&gt;0,AB9,X$33*AB9/AB$33)</f>
        <v>96817.150375738216</v>
      </c>
      <c r="AD9" s="74" t="s">
        <v>8</v>
      </c>
      <c r="AE9" s="48" t="s">
        <v>8</v>
      </c>
      <c r="AF9" s="51">
        <f t="shared" ref="AF9:AF21" si="115">(((H9+L9+Q9+W9+AC9)/G9)/$J$33)/I9</f>
        <v>0.65166385639749158</v>
      </c>
      <c r="AG9" s="50">
        <f t="shared" ref="AG9:AG21" si="116">AE$33-AF9</f>
        <v>5.4750164301613058E-2</v>
      </c>
      <c r="AH9" s="52">
        <f>IF(AG9&gt;0,$G9*$I9*(($H$33+$L$33+$Q$33+$W$33+$AC$33)/$G$33)*AG9,0)</f>
        <v>630033.03644566715</v>
      </c>
      <c r="AI9" s="78">
        <f t="shared" ref="AI9:AI21" si="117">IF((AD$33-AH$33)&gt;0,AH9,AD$33*AH9/AH$33)</f>
        <v>630033.03644566715</v>
      </c>
      <c r="AJ9" s="74" t="s">
        <v>8</v>
      </c>
      <c r="AK9" s="48" t="s">
        <v>8</v>
      </c>
      <c r="AL9" s="51">
        <f t="shared" ref="AL9:AL21" si="118">(((H9+L9+Q9+W9+AC9+AI9)/G9)/$J$33)/I9</f>
        <v>0.75333038740561342</v>
      </c>
      <c r="AM9" s="50">
        <f t="shared" ref="AM9:AM21" si="119">AK$33-AL9</f>
        <v>-1.1696213446891202E-3</v>
      </c>
      <c r="AN9" s="52">
        <f>IF(AM9&gt;0,$G9*$I9*(($H$33+$L$33+$Q$33+$W$33+$AC$33+$AI$33)/$G$33)*AM9,0)</f>
        <v>0</v>
      </c>
      <c r="AO9" s="78">
        <f t="shared" ref="AO9:AO21" si="120">IF((AJ$33-AN$33)&gt;0,AN9,AJ$33*AN9/AN$33)</f>
        <v>0</v>
      </c>
      <c r="AP9" s="74" t="s">
        <v>8</v>
      </c>
      <c r="AQ9" s="48" t="s">
        <v>8</v>
      </c>
      <c r="AR9" s="51">
        <f t="shared" ref="AR9:AR21" si="121">(((H9+L9+Q9+W9+AC9+AI9+AO9)/G9)/$J$33)/I9</f>
        <v>0.75333038740561342</v>
      </c>
      <c r="AS9" s="50">
        <f t="shared" ref="AS9:AS21" si="122">AQ$33-AR9</f>
        <v>3.1793859048577566E-2</v>
      </c>
      <c r="AT9" s="52">
        <f>IF(AS9&gt;0,$G9*$I9*(($H$33+$L$33+$Q$33+$W$33+$AC$33+$AI$33+$AO$33)/$G$33)*AS9,0)</f>
        <v>390167.39411220915</v>
      </c>
      <c r="AU9" s="78">
        <f t="shared" ref="AU9:AU21" si="123">IF((AP$33-AT$33)&gt;0,AT9,AP$33*AT9/AT$33)</f>
        <v>390167.39411220915</v>
      </c>
      <c r="AV9" s="74" t="s">
        <v>8</v>
      </c>
      <c r="AW9" s="48" t="s">
        <v>8</v>
      </c>
      <c r="AX9" s="51">
        <f t="shared" ref="AX9:AX21" si="124">(((H9+L9+Q9+W9+AC9+AI9+AO9+AU9)/G9)/$J$33)/I9</f>
        <v>0.81629052310841443</v>
      </c>
      <c r="AY9" s="50">
        <f t="shared" ref="AY9:AY21" si="125">AW$33-AX9</f>
        <v>-5.8034544006365651E-3</v>
      </c>
      <c r="AZ9" s="52">
        <f>IF(AY9&gt;0,$G9*$I9*(($H$33+$L$33+$Q$33+$W$33+$AC$33+$AI$33+$AO$33+$AU$33)/$G$33)*AY9,0)</f>
        <v>0</v>
      </c>
      <c r="BA9" s="78">
        <f t="shared" ref="BA9:BA21" si="126">IF((AV$33-AZ$33)&gt;0,AZ9,AV$33*AZ9/AZ$33)</f>
        <v>0</v>
      </c>
      <c r="BB9" s="74" t="s">
        <v>8</v>
      </c>
      <c r="BC9" s="48" t="s">
        <v>8</v>
      </c>
      <c r="BD9" s="51">
        <f t="shared" ref="BD9:BD21" si="127">(((H9+L9+Q9+W9+AC9+AI9+AO9+AU9+BA9)/G9)/$J$33)/I9</f>
        <v>0.81629052310841443</v>
      </c>
      <c r="BE9" s="50">
        <f t="shared" ref="BE9:BE21" si="128">BC$33-BD9</f>
        <v>1.6135326192138422E-2</v>
      </c>
      <c r="BF9" s="52">
        <f>IF(BE9&gt;0,$G9*$I9*(($H$33+$L$33+$Q$33+$W$33+$AC$33+$AI$33+$AO$33+$AU$33+$BA$33)/$G$33)*BE9,0)</f>
        <v>205524.39497263261</v>
      </c>
      <c r="BG9" s="78">
        <f t="shared" ref="BG9:BG21" si="129">IF((BB$33-BF$33)&gt;0,BF9,BB$33*BF9/BF$33)</f>
        <v>205524.39497263261</v>
      </c>
      <c r="BH9" s="74" t="s">
        <v>8</v>
      </c>
      <c r="BI9" s="48" t="s">
        <v>8</v>
      </c>
      <c r="BJ9" s="51">
        <f t="shared" ref="BJ9:BJ21" si="130">(((H9+L9+Q9+W9+AC9+AI9+AO9+AU9+BA9+BG9)/G9)/$J$33)/I9</f>
        <v>0.84945537489505973</v>
      </c>
      <c r="BK9" s="50">
        <f t="shared" ref="BK9:BK21" si="131">BI$33-BJ9</f>
        <v>2.8223822460274883E-3</v>
      </c>
      <c r="BL9" s="52">
        <f>IF(BK9&gt;0,$G9*$I9*(($H$33+$L$33+$Q$33+$W$33+$AC$33+$AI$33+$AO$33+$AU$33+$BA$33+$BG$33)/$G$33)*BK9,0)</f>
        <v>36516.232786911249</v>
      </c>
      <c r="BM9" s="78">
        <f t="shared" ref="BM9:BM21" si="132">IF((BH$33-BL$33)&gt;0,BL9,BH$33*BL9/BL$33)</f>
        <v>36516.232786911249</v>
      </c>
      <c r="BN9" s="74" t="s">
        <v>8</v>
      </c>
      <c r="BO9" s="48" t="s">
        <v>8</v>
      </c>
      <c r="BP9" s="51">
        <f t="shared" ref="BP9:BP21" si="133">(((H9+L9+Q9+W9+AC9+AI9+AO9+AU9+BA9+BG9+BM9)/G9)/$J$33)/I9</f>
        <v>0.85534788925251992</v>
      </c>
      <c r="BQ9" s="50">
        <f t="shared" ref="BQ9:BQ21" si="134">BO$33-BP9</f>
        <v>1.4598579091201103E-2</v>
      </c>
      <c r="BR9" s="52">
        <f>IF(BQ9&gt;0,$G9*$I9*(($H$33+$L$33+$Q$33+$W$33+$AC$33+$AI$33+$AO$33+$AU$33+$BA$33+$BG$33+$BM$33)/$G$33)*BQ9,0)</f>
        <v>191342.70850199694</v>
      </c>
      <c r="BS9" s="128">
        <f t="shared" ref="BS9:BS21" si="135">IF((BN$33-BR$33)&gt;0,BR9,BN$33*BR9/BR$33)</f>
        <v>34646.721652970511</v>
      </c>
      <c r="BT9" s="74" t="s">
        <v>8</v>
      </c>
      <c r="BU9" s="48" t="s">
        <v>8</v>
      </c>
      <c r="BV9" s="51">
        <f>(((H9+L9+Q9+W9+AC9+AI9+AO9+AU9+BA9+BG9+BM9+BS9)/G9)/$J$33)/I9</f>
        <v>0.86093872623645518</v>
      </c>
      <c r="BW9" s="50">
        <f t="shared" ref="BW9:BW21" si="136">BU$33-BV9</f>
        <v>1.1889657433406531E-2</v>
      </c>
      <c r="BX9" s="52">
        <f>IF(BW9&gt;0,$G9*$I9*(($H$33+$L$33+$Q$33+$W$33+$AC$33+$AI$33+$AO$33+$AU$33+$BA$33+$BG$33+$BM$33+$BS$33)/$G$33)*BW9,0)</f>
        <v>156186.42862979183</v>
      </c>
      <c r="BY9" s="128">
        <f t="shared" ref="BY9:BY21" si="137">IF((BT$33-BX$33)&gt;0,BX9,BT$33*BX9/BX$33)</f>
        <v>0</v>
      </c>
      <c r="BZ9" s="74" t="s">
        <v>8</v>
      </c>
      <c r="CA9" s="48" t="s">
        <v>8</v>
      </c>
      <c r="CB9" s="51">
        <f>(((H9+L9+Q9+W9+AC9+AI9+AO9+AU9+BA9+BG9+BM9+BS9+BY9)/G9)/$J$33)/I9</f>
        <v>0.86093872623645518</v>
      </c>
      <c r="CC9" s="50">
        <f t="shared" ref="CC9:CC21" si="138">CA$33-CB9</f>
        <v>1.1889657433406531E-2</v>
      </c>
      <c r="CD9" s="52">
        <f>IF(CC9&gt;0,$G9*$I9*(($H$33+$L$33+$Q$33+$W$33+$AC$33+$AI$33+$AO$33+$AU$33+$BA$33+$BG$33+$BM$33+$BS$33+$BY$33)/$G$33)*CC9,0)</f>
        <v>156186.42862979183</v>
      </c>
      <c r="CE9" s="128">
        <f t="shared" ref="CE9:CE21" si="139">IF((BZ$33-CD$33)&gt;0,CD9,BZ$33*CD9/CD$33)</f>
        <v>0</v>
      </c>
      <c r="CF9" s="74" t="s">
        <v>8</v>
      </c>
      <c r="CG9" s="48" t="s">
        <v>8</v>
      </c>
      <c r="CH9" s="51">
        <f t="shared" ref="CH9:CH21" si="140">(((H9+L9+Q9+W9+AC9+AI9+AO9+AU9+BA9+BG9+BM9+BS9+BY9+CE9)/G9)/$J$33)/I9</f>
        <v>0.86093872623645518</v>
      </c>
      <c r="CI9" s="50">
        <f t="shared" ref="CI9:CI21" si="141">CG$33-CH9</f>
        <v>1.1889657433406531E-2</v>
      </c>
      <c r="CJ9" s="52">
        <f>IF(CI9&gt;0,$G9*$I9*(($H$33+$L$33+$Q$33+$W$33+$AC$33+$AI$33+$AO$33+$AU$33+$BA$33+$BG$33+$BM$33+$BS$33+$BY$33+$CE$33)/$G$33)*CI9,0)</f>
        <v>156186.42862979183</v>
      </c>
      <c r="CK9" s="128">
        <f t="shared" ref="CK9:CK21" si="142">IF((CF$33-CJ$33)&gt;0,CJ9,CF$33*CJ9/CJ$33)</f>
        <v>0</v>
      </c>
      <c r="CL9" s="74" t="s">
        <v>8</v>
      </c>
      <c r="CM9" s="48" t="s">
        <v>8</v>
      </c>
      <c r="CN9" s="51">
        <f>(((H9+L9+Q9+W9+AC9+AI9+AO9+AU9+BA9+BG9+BM9+BS9+BY9+CE9+CK9)/G9)/$J$33)/I9</f>
        <v>0.86093872623645518</v>
      </c>
      <c r="CO9" s="50">
        <f t="shared" ref="CO9:CO21" si="143">CM$33-CN9</f>
        <v>1.1889657433406531E-2</v>
      </c>
      <c r="CP9" s="52">
        <f>IF(CO9&gt;0,$G9*$I9*(($H$33+$L$33+$Q$33+$W$33+$AC$33+$AI$33+$AO$33+$AU$33+$BA$33+$BG$33+$BM$33+$BS$33+$BY$33+$CE$33+$CK$33)/$G$33)*CO9,0)</f>
        <v>156186.42862979183</v>
      </c>
      <c r="CQ9" s="128">
        <f t="shared" ref="CQ9:CQ21" si="144">IF((CL$33-CP$33)&gt;0,CP9,CL$33*CP9/CP$33)</f>
        <v>0</v>
      </c>
      <c r="CR9" s="74" t="s">
        <v>8</v>
      </c>
      <c r="CS9" s="48" t="s">
        <v>8</v>
      </c>
      <c r="CT9" s="51">
        <f>(((H9+L9+Q9+W9+AC9+AI9+AO9+AU9+BA9+BG9+BM9+BS9+BY9+CE9+CK9+CQ9)/G9)/$J$33)/I9</f>
        <v>0.86093872623645518</v>
      </c>
      <c r="CU9" s="50">
        <f t="shared" ref="CU9:CU21" si="145">CS$33-CT9</f>
        <v>1.1889657433406531E-2</v>
      </c>
      <c r="CV9" s="52">
        <f>IF(CU9&gt;0,$G9*$I9*(($H$33+$L$33+$Q$33+$W$33+$AC$33+$AI$33+$AO$33+$AU$33+$BA$33+$BG$33+$BM$33+$BS$33+$BY$33+$CE$33+$CK$33+$CQ$33)/$G$33)*CU9,0)</f>
        <v>156186.42862979183</v>
      </c>
      <c r="CW9" s="128">
        <f t="shared" ref="CW9:CW21" si="146">IF((CR$33-CV$33)&gt;0,CV9,CR$33*CV9/CV$33)</f>
        <v>0</v>
      </c>
      <c r="CX9" s="74" t="s">
        <v>8</v>
      </c>
      <c r="CY9" s="48" t="s">
        <v>8</v>
      </c>
      <c r="CZ9" s="51">
        <f>(((H9+L9+Q9+W9+AC9+AI9+AO9+AU9+BA9+BG9+BM9+BS9+BY9+CE9+CK9+CQ9+CW9)/G9)/$J$33)/I9</f>
        <v>0.86093872623645518</v>
      </c>
      <c r="DA9" s="50">
        <f t="shared" ref="DA9:DA21" si="147">CY$33-CZ9</f>
        <v>1.1889657433406531E-2</v>
      </c>
      <c r="DB9" s="52">
        <f>IF(DA9&gt;0,$G9*$I9*(($H$33+$L$33+$Q$33+$W$33+$AC$33+$AI$33+$AO$33+$AU$33+$BA$33+$BG$33+$BM$33+$BS$33+$BY$33+$CE$33+$CK$33+$CQ$33+$CW$33)/$G$33)*DA9,0)</f>
        <v>156186.42862979183</v>
      </c>
      <c r="DC9" s="128">
        <f t="shared" ref="DC9:DC21" si="148">IF((CX$33-DB$33)&gt;0,DB9,CX$33*DB9/DB$33)</f>
        <v>0</v>
      </c>
      <c r="DD9" s="74" t="s">
        <v>8</v>
      </c>
      <c r="DE9" s="48" t="s">
        <v>8</v>
      </c>
      <c r="DF9" s="51">
        <f>(((H9+L9+Q9+W9+AC9+AI9+AO9+AU9+BA9+BG9+BM9+BS9+BY9+CE9+CK9+CQ9+CW9+DC9)/G9)/$J$33)/I9</f>
        <v>0.86093872623645518</v>
      </c>
      <c r="DG9" s="50">
        <f t="shared" ref="DG9:DG21" si="149">DE$33-DF9</f>
        <v>1.1889657433406531E-2</v>
      </c>
      <c r="DH9" s="52">
        <f>IF(DG9&gt;0,$G9*$I9*(($H$33+$L$33+$Q$33+$W$33+$AC$33+$AI$33+$AO$33+$AU$33+$BA$33+$BG$33+$BM$33+$BS$33+$BY$33+$CE$33+$CK$33+$CQ$33+$CW$33+$DC$33)/$G$33)*DG9,0)</f>
        <v>156186.42862979183</v>
      </c>
      <c r="DI9" s="128">
        <f t="shared" ref="DI9:DI21" si="150">IF((DD$33-DH$33)&gt;0,DH9,DD$33*DH9/DH$33)</f>
        <v>0</v>
      </c>
      <c r="DJ9" s="74" t="s">
        <v>8</v>
      </c>
      <c r="DK9" s="48" t="s">
        <v>8</v>
      </c>
      <c r="DL9" s="51">
        <f>(((H9+L9+Q9+W9+AC9+AI9+AO9+AU9+BA9+BG9+BM9+BS9+BY9+CE9+CK9+CQ9+CW9+DC9+DI9)/G9)/$J$33)/I9</f>
        <v>0.86093872623645518</v>
      </c>
      <c r="DM9" s="50">
        <f t="shared" ref="DM9:DM21" si="151">DK$33-DL9</f>
        <v>1.1889657433406531E-2</v>
      </c>
      <c r="DN9" s="52">
        <f>IF(DM9&gt;0,$G9*$I9*(($H$33+$L$33+$Q$33+$W$33+$AC$33+$AI$33+$AO$33+$AU$33+$BA$33+$BG$33+$BM$33+$BS$33+$BY$33+$CE$33+$CK$33+$CQ$33+$CW$33+$DC$33+$DI$33)/$G$33)*DM9,0)</f>
        <v>156186.42862979183</v>
      </c>
      <c r="DO9" s="128">
        <f t="shared" ref="DO9:DO21" si="152">IF((DJ$33-DN$33)&gt;0,DN9,DJ$33*DN9/DN$33)</f>
        <v>0</v>
      </c>
      <c r="DP9" s="74" t="s">
        <v>8</v>
      </c>
      <c r="DQ9" s="48" t="s">
        <v>8</v>
      </c>
      <c r="DR9" s="51">
        <f>(((H9+L9+Q9+W9+AC9+AI9+AO9+AU9+BA9+BG9+BM9+BS9+BY9+CE9+CK9+CQ9+CW9+DC9+DI9+DO9)/G9)/$J$33)/I9</f>
        <v>0.86093872623645518</v>
      </c>
      <c r="DS9" s="50">
        <f t="shared" ref="DS9:DS21" si="153">DQ$33-DR9</f>
        <v>1.1889657433406531E-2</v>
      </c>
      <c r="DT9" s="52">
        <f>IF(DS9&gt;0,$G9*$I9*(($H$33+$L$33+$Q$33+$W$33+$AC$33+$AI$33+$AO$33+$AU$33+$BA$33+$BG$33+$BM$33+$BS$33+$BY$33+$CE$33+$CK$33+$CQ$33+$CW$33+$DC$33+$DI$33+$DO$33)/$G$33)*DS9,0)</f>
        <v>156186.42862979183</v>
      </c>
      <c r="DU9" s="128">
        <f t="shared" ref="DU9:DU21" si="154">IF((DP$33-DT$33)&gt;0,DT9,DP$33*DT9/DT$33)</f>
        <v>0</v>
      </c>
      <c r="DV9" s="184" t="s">
        <v>8</v>
      </c>
      <c r="DW9" s="173" t="s">
        <v>8</v>
      </c>
      <c r="DX9" s="192">
        <f>((($H9+$L9+$Q9+$W9+$AC9+$AI9+$AO9+$AU9+$BA9+$BG9+$BM9+$BS9+$BY9+$CE9+$CK9+$CQ9+$CW9+$DC9+$DI9+$DO9+$DU9)/$G9)/$J$33)/$I9</f>
        <v>0.86093872623645518</v>
      </c>
      <c r="DY9" s="174">
        <f t="shared" ref="DY9:DY21" si="155">DW$33-DX9</f>
        <v>1.1889657433406531E-2</v>
      </c>
      <c r="DZ9" s="33">
        <f>IF(DY9&gt;0,$G9*$I9*(($H$33+$L$33+$Q$33+$W$33+$AC$33+$AI$33+$AO$33+$AU$33+$BA$33+$BG$33+$BM$33+$BS$33+$BY$33+$CE$33+$CK$33+$CQ$33+$CW$33+$DC$33+$DI$33+$DO$33+$DU$33)/$G$33)*DY9,0)</f>
        <v>156186.42862979183</v>
      </c>
      <c r="EA9" s="175">
        <f t="shared" ref="EA9:EA21" si="156">IF((DV$33-DZ$33)&gt;0,DZ9,DV$33*DZ9/DZ$33)</f>
        <v>0</v>
      </c>
      <c r="EB9" s="184" t="s">
        <v>8</v>
      </c>
      <c r="EC9" s="173" t="s">
        <v>8</v>
      </c>
      <c r="ED9" s="192">
        <f>((($H9+$L9+$Q9+$W9+$AC9+$AI9+$AO9+$AU9+$BA9+$BG9+$BM9+$BS9+$BY9+$CE9+$CK9+$CQ9+$CW9+$DC9+$DI9+$DO9+$DU9+$EA9)/$G9)/$J$33)/$I9</f>
        <v>0.86093872623645518</v>
      </c>
      <c r="EE9" s="174">
        <f t="shared" ref="EE9:EE27" si="157">EC$33-ED9</f>
        <v>1.1889657433406531E-2</v>
      </c>
      <c r="EF9" s="33">
        <f>IF(EE9&gt;0,$G9*$I9*(($H$33+$L$33+$Q$33+$W$33+$AC$33+$AI$33+$AO$33+$AU$33+$BA$33+$BG$33+$BM$33+$BS$33+$BY$33+$CE$33+$CK$33+$CQ$33+$CW$33+$DC$33+$DI$33+$DO$33+$DU$33+$EA$33)/$G$33)*EE9,0)</f>
        <v>156186.42862979183</v>
      </c>
      <c r="EG9" s="175">
        <f t="shared" ref="EG9:EG27" si="158">IF((EB$33-EF$33)&gt;0,EF9,EB$33*EF9/EF$33)</f>
        <v>0</v>
      </c>
      <c r="EH9" s="184" t="s">
        <v>8</v>
      </c>
      <c r="EI9" s="173" t="s">
        <v>8</v>
      </c>
      <c r="EJ9" s="192">
        <f>((($H9+$L9+$Q9+$W9+$AC9+$AI9+$AO9+$AU9+$BA9+$BG9+$BM9+$BS9+$BY9+$CE9+$CK9+$CQ9+$CW9+$DC9+$DI9+$DO9+$DU9+$EA9+$EG9)/$G9)/$J$33)/$I9</f>
        <v>0.86093872623645518</v>
      </c>
      <c r="EK9" s="174">
        <f t="shared" ref="EK9:EK27" si="159">EI$33-EJ9</f>
        <v>1.1889657433406531E-2</v>
      </c>
      <c r="EL9" s="33">
        <f>IF(EK9&gt;0,$G9*$I9*(($H$33+$L$33+$Q$33+$W$33+$AC$33+$AI$33+$AO$33+$AU$33+$BA$33+$BG$33+$BM$33+$BS$33+$BY$33+$CE$33+$CK$33+$CQ$33+$CW$33+$DC$33+$DI$33+$DO$33+$DU$33+$EA$33+$EG$33)/$G$33)*EK9,0)</f>
        <v>156186.42862979183</v>
      </c>
      <c r="EM9" s="175">
        <f t="shared" ref="EM9:EM27" si="160">IF((EH$33-EL$33)&gt;0,EL9,EH$33*EL9/EL$33)</f>
        <v>0</v>
      </c>
      <c r="EN9" s="74" t="s">
        <v>8</v>
      </c>
      <c r="EO9" s="48" t="s">
        <v>8</v>
      </c>
      <c r="EP9" s="193">
        <f>((($H9+$L9+$Q9+$W9+$AC9+$AI9+$AO9+$AU9+$BA9+$BG9+$BM9+$BS9+$BY9+$CE9+$CK9+$CQ9+$CW9+$DC9+$DI9+$DO9+$DU9+$EA9+$EG9+$EM9)/$G9)/$J$33)/$I9</f>
        <v>0.86093872623645518</v>
      </c>
      <c r="EQ9" s="50">
        <f t="shared" ref="EQ9:EQ27" si="161">EO$33-EP9</f>
        <v>1.1889657433406531E-2</v>
      </c>
      <c r="ER9" s="52">
        <f>IF(EQ9&gt;0,$G9*$I9*(($H$33+$L$33+$Q$33+$W$33+$AC$33+$AI$33+$AO$33+$AU$33+$BA$33+$BG$33+$BM$33+$BS$33+$BY$33+$CE$33+$CK$33+$CQ$33+$CW$33+$DC$33+$DI$33+$DO$33+$DU$33+$EA$33+$EG$33+$EM$33)/$G$33)*EQ9,0)</f>
        <v>156186.42862979183</v>
      </c>
      <c r="ES9" s="78">
        <f t="shared" ref="ES9:ES27" si="162">IF((EN$33-ER$33)&gt;0,ER9,EN$33*ER9/ER$33)</f>
        <v>0</v>
      </c>
      <c r="ET9" s="184" t="s">
        <v>8</v>
      </c>
      <c r="EU9" s="173" t="s">
        <v>8</v>
      </c>
      <c r="EV9" s="192">
        <f>((($H9+$L9+$Q9+$W9+$AC9+$AI9+$AO9+$AU9+$BA9+$BG9+$BM9+$BS9+$BY9+$CE9+$CK9+$CQ9+$CW9+$DC9+$DI9+$DO9+$DU9+$EA9+$EG9+$EM9+$ES9)/$G9)/$J$33)/$I9</f>
        <v>0.86093872623645518</v>
      </c>
      <c r="EW9" s="174">
        <f t="shared" ref="EW9:EW27" si="163">EU$33-EV9</f>
        <v>1.1889657433406531E-2</v>
      </c>
      <c r="EX9" s="33">
        <f>IF(EW9&gt;0,$G9*$I9*(($H$33+$L$33+$Q$33+$W$33+$AC$33+$AI$33+$AO$33+$AU$33+$BA$33+$BG$33+$BM$33+$BS$33+$BY$33+$CE$33+$CK$33+$CQ$33+$CW$33+$DC$33+$DI$33+$DO$33+$DU$33+$EA$33+$EG$33+$EM$33+$ES$33)/$G$33)*EW9,0)</f>
        <v>156186.42862979183</v>
      </c>
      <c r="EY9" s="175">
        <f t="shared" ref="EY9:EY27" si="164">IF((ET$33-EX$33)&gt;0,EX9,ET$33*EX9/EX$33)</f>
        <v>0</v>
      </c>
      <c r="EZ9" s="184" t="s">
        <v>8</v>
      </c>
      <c r="FA9" s="173" t="s">
        <v>8</v>
      </c>
      <c r="FB9" s="192">
        <f>((($H9+$L9+$Q9+$W9+$AC9+$AI9+$AO9+$AU9+$BA9+$BG9+$BM9+$BS9+$BY9+$CE9+$CK9+$CQ9+$CW9+$DC9+$DI9+$DO9+$DU9+$EA9+$EG9+$EM9+$ES9+$EY9)/$G9)/$J$33)/$I9</f>
        <v>0.86093872623645518</v>
      </c>
      <c r="FC9" s="174">
        <f t="shared" ref="FC9:FC27" si="165">FA$33-FB9</f>
        <v>1.1889657433406531E-2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156186.42862979183</v>
      </c>
      <c r="FE9" s="175">
        <f t="shared" ref="FE9:FE27" si="166">IF((EZ$33-FD$33)&gt;0,FD9,EZ$33*FD9/FD$33)</f>
        <v>0</v>
      </c>
      <c r="FF9" s="184" t="s">
        <v>8</v>
      </c>
      <c r="FG9" s="173" t="s">
        <v>8</v>
      </c>
      <c r="FH9" s="192">
        <f>((($H9+$L9+$Q9+$W9+$AC9+$AI9+$AO9+$AU9+$BA9+$BG9+$BM9+$BS9+$BY9+$CE9+$CK9+$CQ9+$CW9+$DC9+$DI9+$DO9+$DU9+$EA9+$EG9+$EM9+$ES9+$EY9+$FE9)/$G9)/$J$33)/$I9</f>
        <v>0.86093872623645518</v>
      </c>
      <c r="FI9" s="174">
        <f t="shared" ref="FI9:FI27" si="167">FG$33-FH9</f>
        <v>1.1889657433406531E-2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156186.42862979183</v>
      </c>
      <c r="FK9" s="175">
        <f t="shared" ref="FK9:FK27" si="168">IF((FF$33-FJ$33)&gt;0,FJ9,FF$33*FJ9/FJ$33)</f>
        <v>0</v>
      </c>
      <c r="FL9" s="184" t="s">
        <v>8</v>
      </c>
      <c r="FM9" s="173" t="s">
        <v>8</v>
      </c>
      <c r="FN9" s="192">
        <f>((($H9+$L9+$Q9+$W9+$AC9+$AI9+$AO9+$AU9+$BA9+$BG9+$BM9+$BS9+$BY9+$CE9+$CK9+$CQ9+$CW9+$DC9+$DI9+$DO9+$DU9+$EA9+$EG9+$EM9+$ES9+$EY9+$FE9+$FK9)/$G9)/$J$33)/$I9</f>
        <v>0.86093872623645518</v>
      </c>
      <c r="FO9" s="174">
        <f t="shared" ref="FO9:FO27" si="169">FM$33-FN9</f>
        <v>1.1889657433406531E-2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156186.42862979183</v>
      </c>
      <c r="FQ9" s="175">
        <f t="shared" ref="FQ9:FQ27" si="170">IF((FL$33-FP$33)&gt;0,FP9,FL$33*FP9/FP$33)</f>
        <v>0</v>
      </c>
      <c r="FR9" s="184" t="s">
        <v>8</v>
      </c>
      <c r="FS9" s="173" t="s">
        <v>8</v>
      </c>
      <c r="FT9" s="192">
        <f>((($H9+$L9+$Q9+$W9+$AC9+$AI9+$AO9+$AU9+$BA9+$BG9+$BM9+$BS9+$BY9+$CE9+$CK9+$CQ9+$CW9+$DC9+$DI9+$DO9+$DU9+$EA9+$EG9+$EM9+$ES9+$EY9+$FE9+$FK9+$FQ9)/$G9)/$J$33)/$I9</f>
        <v>0.86093872623645518</v>
      </c>
      <c r="FU9" s="174">
        <f t="shared" ref="FU9:FU27" si="171">FS$33-FT9</f>
        <v>1.1889657433406531E-2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156186.42862979183</v>
      </c>
      <c r="FW9" s="175">
        <f t="shared" ref="FW9:FW27" si="172">IF((FR$33-FV$33)&gt;0,FV9,FR$33*FV9/FV$33)</f>
        <v>0</v>
      </c>
      <c r="FX9" s="184" t="s">
        <v>8</v>
      </c>
      <c r="FY9" s="173" t="s">
        <v>8</v>
      </c>
      <c r="FZ9" s="192">
        <f>((($H9+$L9+$Q9+$W9+$AC9+$AI9+$AO9+$AU9+$BA9+$BG9+$BM9+$BS9+$BY9+$CE9+$CK9+$CQ9+$CW9+$DC9+$DI9+$DO9+$DU9+$EA9+$EG9+$EM9+$ES9+$EY9+$FE9+$FK9+$FQ9+$FW9)/$G9)/$J$33)/$I9</f>
        <v>0.86093872623645518</v>
      </c>
      <c r="GA9" s="174">
        <f t="shared" ref="GA9:GA27" si="173">FY$33-FZ9</f>
        <v>1.1889657433406531E-2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156186.42862979183</v>
      </c>
      <c r="GC9" s="175">
        <f t="shared" ref="GC9:GC27" si="174">IF((FX$33-GB$33)&gt;0,GB9,FX$33*GB9/GB$33)</f>
        <v>0</v>
      </c>
      <c r="GD9" s="184" t="s">
        <v>8</v>
      </c>
      <c r="GE9" s="173" t="s">
        <v>8</v>
      </c>
      <c r="GF9" s="192">
        <f>((($H9+$L9+$Q9+$W9+$AC9+$AI9+$AO9+$AU9+$BA9+$BG9+$BM9+$BS9+$BY9+$CE9+$CK9+$CQ9+$CW9+$DC9+$DI9+$DO9+$DU9+$EA9+$EG9+$EM9+$ES9+$EY9+$FE9+$FK9+$FQ9+$FW9+$GC9)/$G9)/$J$33)/$I9</f>
        <v>0.86093872623645518</v>
      </c>
      <c r="GG9" s="174">
        <f t="shared" ref="GG9:GG27" si="175">GE$33-GF9</f>
        <v>1.1889657433406531E-2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156186.42862979183</v>
      </c>
      <c r="GI9" s="196">
        <f t="shared" ref="GI9:GI27" si="176">IF((GD$33-GH$33)&gt;0,GH9,GD$33*GH9/GH$33)</f>
        <v>0</v>
      </c>
      <c r="GJ9" s="194">
        <f>Q9+W9+AC9+AI9+AO9+AU9+BA9+BG9+BM9+BS9+BY9+CE9+CK9+CQ9+CW9+DC9+DI9+DO9+DU9+EA9+EG9+EM9+ES9+EY9+FE9+FK9+FQ9+FW9+GC9+GI9</f>
        <v>2671294.1601025341</v>
      </c>
      <c r="GK9" s="176">
        <f t="shared" ref="GK9:GK33" si="177">L9+GJ9</f>
        <v>3826499.1027342365</v>
      </c>
      <c r="GL9" s="176">
        <v>3826499.1</v>
      </c>
      <c r="GM9" s="177">
        <f t="shared" ref="GM9:GM27" si="178">K9+GK9/($H$33/$G$33)/G9/I9</f>
        <v>0.86093872623645518</v>
      </c>
    </row>
    <row r="10" spans="1:195" s="25" customFormat="1" x14ac:dyDescent="0.25">
      <c r="A10" s="243" t="s">
        <v>179</v>
      </c>
      <c r="B10" s="165" t="s">
        <v>8</v>
      </c>
      <c r="C10" s="165" t="s">
        <v>8</v>
      </c>
      <c r="D10" s="165" t="s">
        <v>8</v>
      </c>
      <c r="E10" s="165" t="s">
        <v>8</v>
      </c>
      <c r="F10" s="165" t="s">
        <v>8</v>
      </c>
      <c r="G10" s="103">
        <f>'Исходные данные'!C12</f>
        <v>984</v>
      </c>
      <c r="H10" s="33">
        <f>'Исходные данные'!D12</f>
        <v>703751.56</v>
      </c>
      <c r="I10" s="31">
        <f>'Расчет КРП'!G8</f>
        <v>3.8044093174782545</v>
      </c>
      <c r="J10" s="110" t="s">
        <v>8</v>
      </c>
      <c r="K10" s="114">
        <f t="shared" si="104"/>
        <v>0.14366574821370412</v>
      </c>
      <c r="L10" s="76">
        <f t="shared" si="105"/>
        <v>576723.31991354388</v>
      </c>
      <c r="M10" s="72">
        <f t="shared" si="106"/>
        <v>0.26139960768489406</v>
      </c>
      <c r="N10" s="30" t="s">
        <v>8</v>
      </c>
      <c r="O10" s="32">
        <f t="shared" si="107"/>
        <v>0.18309813660159391</v>
      </c>
      <c r="P10" s="33">
        <f t="shared" ref="P10:P27" si="179">IF(O10&gt;0,G10*I10*(($H$33+$L$33)/$G$33)*O10,0)</f>
        <v>1298646.5356892347</v>
      </c>
      <c r="Q10" s="79">
        <f t="shared" si="108"/>
        <v>1298646.5356892347</v>
      </c>
      <c r="R10" s="170" t="s">
        <v>8</v>
      </c>
      <c r="S10" s="30" t="s">
        <v>8</v>
      </c>
      <c r="T10" s="34">
        <f t="shared" si="109"/>
        <v>0.5265088263627592</v>
      </c>
      <c r="U10" s="32">
        <f t="shared" si="110"/>
        <v>3.7799955152071352E-2</v>
      </c>
      <c r="V10" s="52">
        <f t="shared" ref="V10:V27" si="180">IF(U10&gt;0,$G10*$I10*(($H$33+$L$33+$Q$33)/$G$33)*U10,0)</f>
        <v>302432.41163671366</v>
      </c>
      <c r="W10" s="79">
        <f t="shared" si="111"/>
        <v>302432.41163671366</v>
      </c>
      <c r="X10" s="75" t="s">
        <v>8</v>
      </c>
      <c r="Y10" s="30" t="s">
        <v>8</v>
      </c>
      <c r="Z10" s="34">
        <f t="shared" si="112"/>
        <v>0.58824819742982082</v>
      </c>
      <c r="AA10" s="32">
        <f t="shared" si="113"/>
        <v>5.6653507787935986E-2</v>
      </c>
      <c r="AB10" s="52">
        <f t="shared" ref="AB10:AB27" si="181">IF(AA10&gt;0,$G10*$I10*(($H$33+$L$33+$Q$33+$W$33)/$G$33)*AA10,0)</f>
        <v>489305.50273347017</v>
      </c>
      <c r="AC10" s="79">
        <f t="shared" si="114"/>
        <v>489305.50273347017</v>
      </c>
      <c r="AD10" s="75" t="s">
        <v>8</v>
      </c>
      <c r="AE10" s="30" t="s">
        <v>8</v>
      </c>
      <c r="AF10" s="34">
        <f t="shared" si="115"/>
        <v>0.6881363470991253</v>
      </c>
      <c r="AG10" s="32">
        <f t="shared" si="116"/>
        <v>1.8277673599979338E-2</v>
      </c>
      <c r="AH10" s="52">
        <f t="shared" ref="AH10:AH27" si="182">IF(AG10&gt;0,$G10*$I10*(($H$33+$L$33+$Q$33+$W$33+$AC$33)/$G$33)*AG10,0)</f>
        <v>166256.88044079166</v>
      </c>
      <c r="AI10" s="79">
        <f t="shared" si="117"/>
        <v>166256.88044079166</v>
      </c>
      <c r="AJ10" s="75" t="s">
        <v>8</v>
      </c>
      <c r="AK10" s="30" t="s">
        <v>8</v>
      </c>
      <c r="AL10" s="34">
        <f t="shared" si="118"/>
        <v>0.72207647665877095</v>
      </c>
      <c r="AM10" s="32">
        <f t="shared" si="119"/>
        <v>3.0084289402153352E-2</v>
      </c>
      <c r="AN10" s="52">
        <f t="shared" ref="AN10:AN27" si="183">IF(AM10&gt;0,$G10*$I10*(($H$33+$L$33+$Q$33+$W$33+$AC$33+$AI$33)/$G$33)*AM10,0)</f>
        <v>284474.44108439726</v>
      </c>
      <c r="AO10" s="79">
        <f t="shared" si="120"/>
        <v>284474.44108439726</v>
      </c>
      <c r="AP10" s="75" t="s">
        <v>8</v>
      </c>
      <c r="AQ10" s="30" t="s">
        <v>8</v>
      </c>
      <c r="AR10" s="34">
        <f t="shared" si="121"/>
        <v>0.78014985901271594</v>
      </c>
      <c r="AS10" s="32">
        <f t="shared" si="122"/>
        <v>4.9743874414750477E-3</v>
      </c>
      <c r="AT10" s="52">
        <f t="shared" ref="AT10:AT27" si="184">IF(AS10&gt;0,$G10*$I10*(($H$33+$L$33+$Q$33+$W$33+$AC$33+$AI$33+$AO$33)/$G$33)*AS10,0)</f>
        <v>48253.425659782086</v>
      </c>
      <c r="AU10" s="79">
        <f t="shared" si="123"/>
        <v>48253.425659782086</v>
      </c>
      <c r="AV10" s="75" t="s">
        <v>8</v>
      </c>
      <c r="AW10" s="30" t="s">
        <v>8</v>
      </c>
      <c r="AX10" s="34">
        <f t="shared" si="124"/>
        <v>0.79000044392834567</v>
      </c>
      <c r="AY10" s="32">
        <f t="shared" si="125"/>
        <v>2.0486624779432194E-2</v>
      </c>
      <c r="AZ10" s="52">
        <f t="shared" ref="AZ10:AZ27" si="185">IF(AY10&gt;0,$G10*$I10*(($H$33+$L$33+$Q$33+$W$33+$AC$33+$AI$33+$AO$33+$AU$33)/$G$33)*AY10,0)</f>
        <v>202900.37776059934</v>
      </c>
      <c r="BA10" s="79">
        <f t="shared" si="126"/>
        <v>202900.37776059934</v>
      </c>
      <c r="BB10" s="75" t="s">
        <v>8</v>
      </c>
      <c r="BC10" s="30" t="s">
        <v>8</v>
      </c>
      <c r="BD10" s="34">
        <f t="shared" si="127"/>
        <v>0.83142107620917471</v>
      </c>
      <c r="BE10" s="32">
        <f t="shared" si="128"/>
        <v>1.0047730913781416E-3</v>
      </c>
      <c r="BF10" s="52">
        <f t="shared" ref="BF10:BF27" si="186">IF(BE10&gt;0,$G10*$I10*(($H$33+$L$33+$Q$33+$W$33+$AC$33+$AI$33+$AO$33+$AU$33+$BA$33)/$G$33)*BE10,0)</f>
        <v>10116.596734452598</v>
      </c>
      <c r="BG10" s="79">
        <f t="shared" si="129"/>
        <v>10116.596734452598</v>
      </c>
      <c r="BH10" s="75" t="s">
        <v>8</v>
      </c>
      <c r="BI10" s="30" t="s">
        <v>8</v>
      </c>
      <c r="BJ10" s="34">
        <f t="shared" si="130"/>
        <v>0.83348630564785831</v>
      </c>
      <c r="BK10" s="32">
        <f t="shared" si="131"/>
        <v>1.8791451493228917E-2</v>
      </c>
      <c r="BL10" s="52">
        <f t="shared" ref="BL10:BL27" si="187">IF(BK10&gt;0,$G10*$I10*(($H$33+$L$33+$Q$33+$W$33+$AC$33+$AI$33+$AO$33+$AU$33+$BA$33+$BG$33)/$G$33)*BK10,0)</f>
        <v>192181.36629062254</v>
      </c>
      <c r="BM10" s="79">
        <f t="shared" si="132"/>
        <v>192181.36629062254</v>
      </c>
      <c r="BN10" s="75" t="s">
        <v>8</v>
      </c>
      <c r="BO10" s="30" t="s">
        <v>8</v>
      </c>
      <c r="BP10" s="34">
        <f t="shared" si="133"/>
        <v>0.87271872991541399</v>
      </c>
      <c r="BQ10" s="32">
        <f t="shared" si="134"/>
        <v>-2.7722615716929688E-3</v>
      </c>
      <c r="BR10" s="52">
        <f t="shared" ref="BR10:BR27" si="188">IF(BQ10&gt;0,$G10*$I10*(($H$33+$L$33+$Q$33+$W$33+$AC$33+$AI$33+$AO$33+$AU$33+$BA$33+$BG$33+$BM$33)/$G$33)*BQ10,0)</f>
        <v>0</v>
      </c>
      <c r="BS10" s="129">
        <f t="shared" si="135"/>
        <v>0</v>
      </c>
      <c r="BT10" s="75" t="s">
        <v>8</v>
      </c>
      <c r="BU10" s="30" t="s">
        <v>8</v>
      </c>
      <c r="BV10" s="34">
        <f t="shared" ref="BV10:BV21" si="189">(((H10+L10+Q10+W10+AC10+AI10+AO10+AU10+BA10+BG10+BM10+BS10)/G10)/$J$33)/I10</f>
        <v>0.87271872991541399</v>
      </c>
      <c r="BW10" s="32">
        <f t="shared" si="136"/>
        <v>1.0965375444771386E-4</v>
      </c>
      <c r="BX10" s="52">
        <f t="shared" ref="BX10:BX27" si="190">IF(BW10&gt;0,$G10*$I10*(($H$33+$L$33+$Q$33+$W$33+$AC$33+$AI$33+$AO$33+$AU$33+$BA$33+$BG$33+$BM$33+$BS$33)/$G$33)*BW10,0)</f>
        <v>1138.6185964456606</v>
      </c>
      <c r="BY10" s="129">
        <f t="shared" si="137"/>
        <v>0</v>
      </c>
      <c r="BZ10" s="75" t="s">
        <v>8</v>
      </c>
      <c r="CA10" s="30" t="s">
        <v>8</v>
      </c>
      <c r="CB10" s="34">
        <f t="shared" ref="CB10:CB21" si="191">(((H10+L10+Q10+W10+AC10+AI10+AO10+AU10+BA10+BG10+BM10+BS10+BY10)/G10)/$J$33)/I10</f>
        <v>0.87271872991541399</v>
      </c>
      <c r="CC10" s="32">
        <f t="shared" si="138"/>
        <v>1.0965375444771386E-4</v>
      </c>
      <c r="CD10" s="52">
        <f t="shared" ref="CD10:CD27" si="192">IF(CC10&gt;0,$G10*$I10*(($H$33+$L$33+$Q$33+$W$33+$AC$33+$AI$33+$AO$33+$AU$33+$BA$33+$BG$33+$BM$33+$BS$33+$BY$33)/$G$33)*CC10,0)</f>
        <v>1138.6185964456606</v>
      </c>
      <c r="CE10" s="129">
        <f t="shared" si="139"/>
        <v>0</v>
      </c>
      <c r="CF10" s="75" t="s">
        <v>8</v>
      </c>
      <c r="CG10" s="30" t="s">
        <v>8</v>
      </c>
      <c r="CH10" s="34">
        <f t="shared" si="140"/>
        <v>0.87271872991541399</v>
      </c>
      <c r="CI10" s="32">
        <f t="shared" si="141"/>
        <v>1.0965375444771386E-4</v>
      </c>
      <c r="CJ10" s="52">
        <f t="shared" ref="CJ10:CJ27" si="193">IF(CI10&gt;0,$G10*$I10*(($H$33+$L$33+$Q$33+$W$33+$AC$33+$AI$33+$AO$33+$AU$33+$BA$33+$BG$33+$BM$33+$BS$33+$BY$33+$CE$33)/$G$33)*CI10,0)</f>
        <v>1138.6185964456606</v>
      </c>
      <c r="CK10" s="129">
        <f t="shared" si="142"/>
        <v>0</v>
      </c>
      <c r="CL10" s="75" t="s">
        <v>8</v>
      </c>
      <c r="CM10" s="30" t="s">
        <v>8</v>
      </c>
      <c r="CN10" s="34">
        <f t="shared" ref="CN10:CN21" si="194">(((H10+L10+Q10+W10+AC10+AI10+AO10+AU10+BA10+BG10+BM10+BS10+BY10+CE10+CK10)/G10)/$J$33)/I10</f>
        <v>0.87271872991541399</v>
      </c>
      <c r="CO10" s="32">
        <f t="shared" si="143"/>
        <v>1.0965375444771386E-4</v>
      </c>
      <c r="CP10" s="52">
        <f t="shared" ref="CP10:CP27" si="195">IF(CO10&gt;0,$G10*$I10*(($H$33+$L$33+$Q$33+$W$33+$AC$33+$AI$33+$AO$33+$AU$33+$BA$33+$BG$33+$BM$33+$BS$33+$BY$33+$CE$33+$CK$33)/$G$33)*CO10,0)</f>
        <v>1138.6185964456606</v>
      </c>
      <c r="CQ10" s="129">
        <f t="shared" si="144"/>
        <v>0</v>
      </c>
      <c r="CR10" s="75" t="s">
        <v>8</v>
      </c>
      <c r="CS10" s="30" t="s">
        <v>8</v>
      </c>
      <c r="CT10" s="34">
        <f t="shared" ref="CT10:CT21" si="196">(((H10+L10+Q10+W10+AC10+AI10+AO10+AU10+BA10+BG10+BM10+BS10+BY10+CE10+CK10+CQ10)/G10)/$J$33)/I10</f>
        <v>0.87271872991541399</v>
      </c>
      <c r="CU10" s="32">
        <f t="shared" si="145"/>
        <v>1.0965375444771386E-4</v>
      </c>
      <c r="CV10" s="52">
        <f t="shared" ref="CV10:CV27" si="197">IF(CU10&gt;0,$G10*$I10*(($H$33+$L$33+$Q$33+$W$33+$AC$33+$AI$33+$AO$33+$AU$33+$BA$33+$BG$33+$BM$33+$BS$33+$BY$33+$CE$33+$CK$33+$CQ$33)/$G$33)*CU10,0)</f>
        <v>1138.6185964456606</v>
      </c>
      <c r="CW10" s="129">
        <f t="shared" si="146"/>
        <v>0</v>
      </c>
      <c r="CX10" s="75" t="s">
        <v>8</v>
      </c>
      <c r="CY10" s="30" t="s">
        <v>8</v>
      </c>
      <c r="CZ10" s="34">
        <f t="shared" ref="CZ10:CZ21" si="198">(((H10+L10+Q10+W10+AC10+AI10+AO10+AU10+BA10+BG10+BM10+BS10+BY10+CE10+CK10+CQ10+CW10)/G10)/$J$33)/I10</f>
        <v>0.87271872991541399</v>
      </c>
      <c r="DA10" s="32">
        <f t="shared" si="147"/>
        <v>1.0965375444771386E-4</v>
      </c>
      <c r="DB10" s="52">
        <f t="shared" ref="DB10:DB27" si="199">IF(DA10&gt;0,$G10*$I10*(($H$33+$L$33+$Q$33+$W$33+$AC$33+$AI$33+$AO$33+$AU$33+$BA$33+$BG$33+$BM$33+$BS$33+$BY$33+$CE$33+$CK$33+$CQ$33+$CW$33)/$G$33)*DA10,0)</f>
        <v>1138.6185964456606</v>
      </c>
      <c r="DC10" s="129">
        <f t="shared" si="148"/>
        <v>0</v>
      </c>
      <c r="DD10" s="75" t="s">
        <v>8</v>
      </c>
      <c r="DE10" s="30" t="s">
        <v>8</v>
      </c>
      <c r="DF10" s="34">
        <f t="shared" ref="DF10:DF21" si="200">(((H10+L10+Q10+W10+AC10+AI10+AO10+AU10+BA10+BG10+BM10+BS10+BY10+CE10+CK10+CQ10+CW10+DC10)/G10)/$J$33)/I10</f>
        <v>0.87271872991541399</v>
      </c>
      <c r="DG10" s="32">
        <f t="shared" si="149"/>
        <v>1.0965375444771386E-4</v>
      </c>
      <c r="DH10" s="52">
        <f t="shared" ref="DH10:DH27" si="201">IF(DG10&gt;0,$G10*$I10*(($H$33+$L$33+$Q$33+$W$33+$AC$33+$AI$33+$AO$33+$AU$33+$BA$33+$BG$33+$BM$33+$BS$33+$BY$33+$CE$33+$CK$33+$CQ$33+$CW$33+$DC$33)/$G$33)*DG10,0)</f>
        <v>1138.6185964456606</v>
      </c>
      <c r="DI10" s="129">
        <f t="shared" si="150"/>
        <v>0</v>
      </c>
      <c r="DJ10" s="75" t="s">
        <v>8</v>
      </c>
      <c r="DK10" s="30" t="s">
        <v>8</v>
      </c>
      <c r="DL10" s="34">
        <f t="shared" ref="DL10:DL21" si="202">(((H10+L10+Q10+W10+AC10+AI10+AO10+AU10+BA10+BG10+BM10+BS10+BY10+CE10+CK10+CQ10+CW10+DC10+DI10)/G10)/$J$33)/I10</f>
        <v>0.87271872991541399</v>
      </c>
      <c r="DM10" s="32">
        <f t="shared" si="151"/>
        <v>1.0965375444771386E-4</v>
      </c>
      <c r="DN10" s="52">
        <f t="shared" ref="DN10:DN27" si="203">IF(DM10&gt;0,$G10*$I10*(($H$33+$L$33+$Q$33+$W$33+$AC$33+$AI$33+$AO$33+$AU$33+$BA$33+$BG$33+$BM$33+$BS$33+$BY$33+$CE$33+$CK$33+$CQ$33+$CW$33+$DC$33+$DI$33)/$G$33)*DM10,0)</f>
        <v>1138.6185964456606</v>
      </c>
      <c r="DO10" s="129">
        <f t="shared" si="152"/>
        <v>0</v>
      </c>
      <c r="DP10" s="75" t="s">
        <v>8</v>
      </c>
      <c r="DQ10" s="30" t="s">
        <v>8</v>
      </c>
      <c r="DR10" s="34">
        <f t="shared" ref="DR10:DR21" si="204">(((H10+L10+Q10+W10+AC10+AI10+AO10+AU10+BA10+BG10+BM10+BS10+BY10+CE10+CK10+CQ10+CW10+DC10+DI10+DO10)/G10)/$J$33)/I10</f>
        <v>0.87271872991541399</v>
      </c>
      <c r="DS10" s="32">
        <f t="shared" si="153"/>
        <v>1.0965375444771386E-4</v>
      </c>
      <c r="DT10" s="52">
        <f t="shared" ref="DT10:DT27" si="205">IF(DS10&gt;0,$G10*$I10*(($H$33+$L$33+$Q$33+$W$33+$AC$33+$AI$33+$AO$33+$AU$33+$BA$33+$BG$33+$BM$33+$BS$33+$BY$33+$CE$33+$CK$33+$CQ$33+$CW$33+$DC$33+$DI$33+$DO$33)/$G$33)*DS10,0)</f>
        <v>1138.6185964456606</v>
      </c>
      <c r="DU10" s="129">
        <f t="shared" si="154"/>
        <v>0</v>
      </c>
      <c r="DV10" s="75" t="s">
        <v>8</v>
      </c>
      <c r="DW10" s="30" t="s">
        <v>8</v>
      </c>
      <c r="DX10" s="34">
        <f t="shared" ref="DX10:DX27" si="206">((($H10+$L10+$Q10+$W10+$AC10+$AI10+$AO10+$AU10+$BA10+$BG10+$BM10+$BS10+$BY10+$CE10+$CK10+$CQ10+$CW10+$DC10+$DI10+$DO10+$DU10)/$G10)/$J$33)/$I10</f>
        <v>0.87271872991541399</v>
      </c>
      <c r="DY10" s="32">
        <f t="shared" si="155"/>
        <v>1.0965375444771386E-4</v>
      </c>
      <c r="DZ10" s="33">
        <f t="shared" ref="DZ10:DZ27" si="207">IF(DY10&gt;0,$G10*$I10*(($H$33+$L$33+$Q$33+$W$33+$AC$33+$AI$33+$AO$33+$AU$33+$BA$33+$BG$33+$BM$33+$BS$33+$BY$33+$CE$33+$CK$33+$CQ$33+$CW$33+$DC$33+$DI$33+$DO$33+$DU$33)/$G$33)*DY10,0)</f>
        <v>1138.6185964456606</v>
      </c>
      <c r="EA10" s="79">
        <f t="shared" si="156"/>
        <v>0</v>
      </c>
      <c r="EB10" s="75" t="s">
        <v>8</v>
      </c>
      <c r="EC10" s="30" t="s">
        <v>8</v>
      </c>
      <c r="ED10" s="34">
        <f t="shared" ref="ED10:ED27" si="208">((($H10+$L10+$Q10+$W10+$AC10+$AI10+$AO10+$AU10+$BA10+$BG10+$BM10+$BS10+$BY10+$CE10+$CK10+$CQ10+$CW10+$DC10+$DI10+$DO10+$DU10+$EA10)/$G10)/$J$33)/$I10</f>
        <v>0.87271872991541399</v>
      </c>
      <c r="EE10" s="32">
        <f t="shared" si="157"/>
        <v>1.0965375444771386E-4</v>
      </c>
      <c r="EF10" s="33">
        <f t="shared" ref="EF10:EF27" si="209">IF(EE10&gt;0,$G10*$I10*(($H$33+$L$33+$Q$33+$W$33+$AC$33+$AI$33+$AO$33+$AU$33+$BA$33+$BG$33+$BM$33+$BS$33+$BY$33+$CE$33+$CK$33+$CQ$33+$CW$33+$DC$33+$DI$33+$DO$33+$DU$33+$EA$33)/$G$33)*EE10,0)</f>
        <v>1138.6185964456606</v>
      </c>
      <c r="EG10" s="79">
        <f t="shared" si="158"/>
        <v>0</v>
      </c>
      <c r="EH10" s="75" t="s">
        <v>8</v>
      </c>
      <c r="EI10" s="30" t="s">
        <v>8</v>
      </c>
      <c r="EJ10" s="34">
        <f t="shared" ref="EJ10:EJ27" si="210">((($H10+$L10+$Q10+$W10+$AC10+$AI10+$AO10+$AU10+$BA10+$BG10+$BM10+$BS10+$BY10+$CE10+$CK10+$CQ10+$CW10+$DC10+$DI10+$DO10+$DU10+$EA10+$EG10)/$G10)/$J$33)/$I10</f>
        <v>0.87271872991541399</v>
      </c>
      <c r="EK10" s="32">
        <f t="shared" si="159"/>
        <v>1.0965375444771386E-4</v>
      </c>
      <c r="EL10" s="33">
        <f t="shared" ref="EL10:EL27" si="211">IF(EK10&gt;0,$G10*$I10*(($H$33+$L$33+$Q$33+$W$33+$AC$33+$AI$33+$AO$33+$AU$33+$BA$33+$BG$33+$BM$33+$BS$33+$BY$33+$CE$33+$CK$33+$CQ$33+$CW$33+$DC$33+$DI$33+$DO$33+$DU$33+$EA$33+$EG$33)/$G$33)*EK10,0)</f>
        <v>1138.6185964456606</v>
      </c>
      <c r="EM10" s="79">
        <f t="shared" si="160"/>
        <v>0</v>
      </c>
      <c r="EN10" s="75" t="s">
        <v>8</v>
      </c>
      <c r="EO10" s="30" t="s">
        <v>8</v>
      </c>
      <c r="EP10" s="34">
        <f t="shared" ref="EP10:EP27" si="212">((($H10+$L10+$Q10+$W10+$AC10+$AI10+$AO10+$AU10+$BA10+$BG10+$BM10+$BS10+$BY10+$CE10+$CK10+$CQ10+$CW10+$DC10+$DI10+$DO10+$DU10+$EA10+$EG10+$EM10)/$G10)/$J$33)/$I10</f>
        <v>0.87271872991541399</v>
      </c>
      <c r="EQ10" s="32">
        <f t="shared" si="161"/>
        <v>1.0965375444771386E-4</v>
      </c>
      <c r="ER10" s="33">
        <f t="shared" ref="ER10:ER27" si="213">IF(EQ10&gt;0,$G10*$I10*(($H$33+$L$33+$Q$33+$W$33+$AC$33+$AI$33+$AO$33+$AU$33+$BA$33+$BG$33+$BM$33+$BS$33+$BY$33+$CE$33+$CK$33+$CQ$33+$CW$33+$DC$33+$DI$33+$DO$33+$DU$33+$EA$33+$EG$33+$EM$33)/$G$33)*EQ10,0)</f>
        <v>1138.6185964456606</v>
      </c>
      <c r="ES10" s="79">
        <f t="shared" si="162"/>
        <v>0</v>
      </c>
      <c r="ET10" s="75" t="s">
        <v>8</v>
      </c>
      <c r="EU10" s="30" t="s">
        <v>8</v>
      </c>
      <c r="EV10" s="34">
        <f t="shared" ref="EV10:EV27" si="214">((($H10+$L10+$Q10+$W10+$AC10+$AI10+$AO10+$AU10+$BA10+$BG10+$BM10+$BS10+$BY10+$CE10+$CK10+$CQ10+$CW10+$DC10+$DI10+$DO10+$DU10+$EA10+$EG10+$EM10+$ES10)/$G10)/$J$33)/$I10</f>
        <v>0.87271872991541399</v>
      </c>
      <c r="EW10" s="32">
        <f t="shared" si="163"/>
        <v>1.0965375444771386E-4</v>
      </c>
      <c r="EX10" s="33">
        <f t="shared" ref="EX10:EX27" si="215">IF(EW10&gt;0,$G10*$I10*(($H$33+$L$33+$Q$33+$W$33+$AC$33+$AI$33+$AO$33+$AU$33+$BA$33+$BG$33+$BM$33+$BS$33+$BY$33+$CE$33+$CK$33+$CQ$33+$CW$33+$DC$33+$DI$33+$DO$33+$DU$33+$EA$33+$EG$33+$EM$33+$ES$33)/$G$33)*EW10,0)</f>
        <v>1138.6185964456606</v>
      </c>
      <c r="EY10" s="79">
        <f t="shared" si="164"/>
        <v>0</v>
      </c>
      <c r="EZ10" s="75" t="s">
        <v>8</v>
      </c>
      <c r="FA10" s="30" t="s">
        <v>8</v>
      </c>
      <c r="FB10" s="34">
        <f t="shared" ref="FB10:FB27" si="216">((($H10+$L10+$Q10+$W10+$AC10+$AI10+$AO10+$AU10+$BA10+$BG10+$BM10+$BS10+$BY10+$CE10+$CK10+$CQ10+$CW10+$DC10+$DI10+$DO10+$DU10+$EA10+$EG10+$EM10+$ES10+$EY10)/$G10)/$J$33)/$I10</f>
        <v>0.87271872991541399</v>
      </c>
      <c r="FC10" s="32">
        <f t="shared" si="165"/>
        <v>1.0965375444771386E-4</v>
      </c>
      <c r="FD10" s="33">
        <f t="shared" ref="FD10:FD27" si="217">IF(FC10&gt;0,$G10*$I10*(($H$33+$L$33+$Q$33+$W$33+$AC$33+$AI$33+$AO$33+$AU$33+$BA$33+$BG$33+$BM$33+$BS$33+$BY$33+$CE$33+$CK$33+$CQ$33+$CW$33+$DC$33+$DI$33+$DO$33+$DU$33+$EA$33+$EG$33+$EM$33+$ES$33+$EY$33)/$G$33)*FC10,0)</f>
        <v>1138.6185964456606</v>
      </c>
      <c r="FE10" s="79">
        <f t="shared" si="166"/>
        <v>0</v>
      </c>
      <c r="FF10" s="75" t="s">
        <v>8</v>
      </c>
      <c r="FG10" s="30" t="s">
        <v>8</v>
      </c>
      <c r="FH10" s="34">
        <f t="shared" ref="FH10:FH27" si="218">((($H10+$L10+$Q10+$W10+$AC10+$AI10+$AO10+$AU10+$BA10+$BG10+$BM10+$BS10+$BY10+$CE10+$CK10+$CQ10+$CW10+$DC10+$DI10+$DO10+$DU10+$EA10+$EG10+$EM10+$ES10+$EY10+$FE10)/$G10)/$J$33)/$I10</f>
        <v>0.87271872991541399</v>
      </c>
      <c r="FI10" s="32">
        <f t="shared" si="167"/>
        <v>1.0965375444771386E-4</v>
      </c>
      <c r="FJ10" s="33">
        <f t="shared" ref="FJ10:FJ27" si="219">IF(FI10&gt;0,$G10*$I10*(($H$33+$L$33+$Q$33+$W$33+$AC$33+$AI$33+$AO$33+$AU$33+$BA$33+$BG$33+$BM$33+$BS$33+$BY$33+$CE$33+$CK$33+$CQ$33+$CW$33+$DC$33+$DI$33+$DO$33+$DU$33+$EA$33+$EG$33+$EM$33+$ES$33+$EY$33+$FE$33)/$G$33)*FI10,0)</f>
        <v>1138.6185964456606</v>
      </c>
      <c r="FK10" s="79">
        <f t="shared" si="168"/>
        <v>0</v>
      </c>
      <c r="FL10" s="75" t="s">
        <v>8</v>
      </c>
      <c r="FM10" s="30" t="s">
        <v>8</v>
      </c>
      <c r="FN10" s="34">
        <f t="shared" ref="FN10:FN27" si="220">((($H10+$L10+$Q10+$W10+$AC10+$AI10+$AO10+$AU10+$BA10+$BG10+$BM10+$BS10+$BY10+$CE10+$CK10+$CQ10+$CW10+$DC10+$DI10+$DO10+$DU10+$EA10+$EG10+$EM10+$ES10+$EY10+$FE10+$FK10)/$G10)/$J$33)/$I10</f>
        <v>0.87271872991541399</v>
      </c>
      <c r="FO10" s="32">
        <f t="shared" si="169"/>
        <v>1.0965375444771386E-4</v>
      </c>
      <c r="FP10" s="33">
        <f t="shared" ref="FP10:FP27" si="221">IF(FO10&gt;0,$G10*$I10*(($H$33+$L$33+$Q$33+$W$33+$AC$33+$AI$33+$AO$33+$AU$33+$BA$33+$BG$33+$BM$33+$BS$33+$BY$33+$CE$33+$CK$33+$CQ$33+$CW$33+$DC$33+$DI$33+$DO$33+$DU$33+$EA$33+$EG$33+$EM$33+$ES$33+$EY$33+$FE$33+$FK$33)/$G$33)*FO10,0)</f>
        <v>1138.6185964456606</v>
      </c>
      <c r="FQ10" s="79">
        <f t="shared" si="170"/>
        <v>0</v>
      </c>
      <c r="FR10" s="75" t="s">
        <v>8</v>
      </c>
      <c r="FS10" s="30" t="s">
        <v>8</v>
      </c>
      <c r="FT10" s="34">
        <f t="shared" ref="FT10:FT27" si="222">((($H10+$L10+$Q10+$W10+$AC10+$AI10+$AO10+$AU10+$BA10+$BG10+$BM10+$BS10+$BY10+$CE10+$CK10+$CQ10+$CW10+$DC10+$DI10+$DO10+$DU10+$EA10+$EG10+$EM10+$ES10+$EY10+$FE10+$FK10+$FQ10)/$G10)/$J$33)/$I10</f>
        <v>0.87271872991541399</v>
      </c>
      <c r="FU10" s="32">
        <f t="shared" si="171"/>
        <v>1.0965375444771386E-4</v>
      </c>
      <c r="FV10" s="33">
        <f t="shared" ref="FV10:FV27" si="223">IF(FU10&gt;0,$G10*$I10*(($H$33+$L$33+$Q$33+$W$33+$AC$33+$AI$33+$AO$33+$AU$33+$BA$33+$BG$33+$BM$33+$BS$33+$BY$33+$CE$33+$CK$33+$CQ$33+$CW$33+$DC$33+$DI$33+$DO$33+$DU$33+$EA$33+$EG$33+$EM$33+$ES$33+$EY$33+$FE$33+$FK$33+$FQ$33)/$G$33)*FU10,0)</f>
        <v>1138.6185964456606</v>
      </c>
      <c r="FW10" s="79">
        <f t="shared" si="172"/>
        <v>0</v>
      </c>
      <c r="FX10" s="75" t="s">
        <v>8</v>
      </c>
      <c r="FY10" s="30" t="s">
        <v>8</v>
      </c>
      <c r="FZ10" s="34">
        <f t="shared" ref="FZ10:FZ27" si="224">((($H10+$L10+$Q10+$W10+$AC10+$AI10+$AO10+$AU10+$BA10+$BG10+$BM10+$BS10+$BY10+$CE10+$CK10+$CQ10+$CW10+$DC10+$DI10+$DO10+$DU10+$EA10+$EG10+$EM10+$ES10+$EY10+$FE10+$FK10+$FQ10+$FW10)/$G10)/$J$33)/$I10</f>
        <v>0.87271872991541399</v>
      </c>
      <c r="GA10" s="32">
        <f t="shared" si="173"/>
        <v>1.0965375444771386E-4</v>
      </c>
      <c r="GB10" s="33">
        <f t="shared" ref="GB10:GB27" si="225">IF(GA10&gt;0,$G10*$I10*(($H$33+$L$33+$Q$33+$W$33+$AC$33+$AI$33+$AO$33+$AU$33+$BA$33+$BG$33+$BM$33+$BS$33+$BY$33+$CE$33+$CK$33+$CQ$33+$CW$33+$DC$33+$DI$33+$DO$33+$DU$33+$EA$33+$EG$33+$EM$33+$ES$33+$EY$33+$FE$33+$FK$33+$FQ$33+$FW$33)/$G$33)*GA10,0)</f>
        <v>1138.6185964456606</v>
      </c>
      <c r="GC10" s="79">
        <f t="shared" si="174"/>
        <v>0</v>
      </c>
      <c r="GD10" s="75" t="s">
        <v>8</v>
      </c>
      <c r="GE10" s="30" t="s">
        <v>8</v>
      </c>
      <c r="GF10" s="34">
        <f t="shared" ref="GF10:GF27" si="226">((($H10+$L10+$Q10+$W10+$AC10+$AI10+$AO10+$AU10+$BA10+$BG10+$BM10+$BS10+$BY10+$CE10+$CK10+$CQ10+$CW10+$DC10+$DI10+$DO10+$DU10+$EA10+$EG10+$EM10+$ES10+$EY10+$FE10+$FK10+$FQ10+$FW10+$GC10)/$G10)/$J$33)/$I10</f>
        <v>0.87271872991541399</v>
      </c>
      <c r="GG10" s="32">
        <f t="shared" si="175"/>
        <v>1.0965375444771386E-4</v>
      </c>
      <c r="GH10" s="33">
        <f t="shared" ref="GH10:GH27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1138.6185964456606</v>
      </c>
      <c r="GI10" s="129">
        <f t="shared" si="176"/>
        <v>0</v>
      </c>
      <c r="GJ10" s="178">
        <f t="shared" ref="GJ10:GJ32" si="228">Q10+W10+AC10+AI10+AO10+AU10+BA10+BG10+BM10+BS10+BY10+CE10+CK10+CQ10+CW10+DC10+DI10+DO10+DU10+EA10+EG10+EM10+ES10+EY10+FE10+FK10+FQ10+FW10+GC10+GI10</f>
        <v>2994567.5380300642</v>
      </c>
      <c r="GK10" s="94">
        <f t="shared" si="177"/>
        <v>3571290.857943608</v>
      </c>
      <c r="GL10" s="94">
        <v>3571290.86</v>
      </c>
      <c r="GM10" s="85">
        <f t="shared" si="178"/>
        <v>0.87271872991541399</v>
      </c>
    </row>
    <row r="11" spans="1:195" s="25" customFormat="1" x14ac:dyDescent="0.25">
      <c r="A11" s="243" t="s">
        <v>180</v>
      </c>
      <c r="B11" s="165" t="s">
        <v>8</v>
      </c>
      <c r="C11" s="165" t="s">
        <v>8</v>
      </c>
      <c r="D11" s="165" t="s">
        <v>8</v>
      </c>
      <c r="E11" s="165" t="s">
        <v>8</v>
      </c>
      <c r="F11" s="165" t="s">
        <v>8</v>
      </c>
      <c r="G11" s="103">
        <f>'Исходные данные'!C13</f>
        <v>986</v>
      </c>
      <c r="H11" s="33">
        <f>'Исходные данные'!D13</f>
        <v>1183778.54</v>
      </c>
      <c r="I11" s="31">
        <f>'Расчет КРП'!G9</f>
        <v>4.2294000236383802</v>
      </c>
      <c r="J11" s="110" t="s">
        <v>8</v>
      </c>
      <c r="K11" s="114">
        <f t="shared" si="104"/>
        <v>0.21693568018871109</v>
      </c>
      <c r="L11" s="76">
        <f t="shared" si="105"/>
        <v>577895.52178328694</v>
      </c>
      <c r="M11" s="72">
        <f t="shared" si="106"/>
        <v>0.32283906824647013</v>
      </c>
      <c r="N11" s="30" t="s">
        <v>8</v>
      </c>
      <c r="O11" s="32">
        <f t="shared" si="107"/>
        <v>0.12165867604001784</v>
      </c>
      <c r="P11" s="33">
        <f t="shared" si="179"/>
        <v>961221.47723999061</v>
      </c>
      <c r="Q11" s="79">
        <f t="shared" si="108"/>
        <v>961221.47723999061</v>
      </c>
      <c r="R11" s="170" t="s">
        <v>8</v>
      </c>
      <c r="S11" s="30" t="s">
        <v>8</v>
      </c>
      <c r="T11" s="34">
        <f t="shared" si="109"/>
        <v>0.49898961324372526</v>
      </c>
      <c r="U11" s="32">
        <f t="shared" si="110"/>
        <v>6.5319168271105288E-2</v>
      </c>
      <c r="V11" s="52">
        <f t="shared" si="180"/>
        <v>582171.62933147093</v>
      </c>
      <c r="W11" s="79">
        <f t="shared" si="111"/>
        <v>582171.62933147093</v>
      </c>
      <c r="X11" s="75" t="s">
        <v>8</v>
      </c>
      <c r="Y11" s="30" t="s">
        <v>8</v>
      </c>
      <c r="Z11" s="34">
        <f t="shared" si="112"/>
        <v>0.60567662785677345</v>
      </c>
      <c r="AA11" s="32">
        <f t="shared" si="113"/>
        <v>3.9225077360983351E-2</v>
      </c>
      <c r="AB11" s="52">
        <f t="shared" si="181"/>
        <v>377390.05103174626</v>
      </c>
      <c r="AC11" s="79">
        <f t="shared" si="114"/>
        <v>377390.05103174626</v>
      </c>
      <c r="AD11" s="75" t="s">
        <v>8</v>
      </c>
      <c r="AE11" s="30" t="s">
        <v>8</v>
      </c>
      <c r="AF11" s="34">
        <f t="shared" si="115"/>
        <v>0.67483598887798624</v>
      </c>
      <c r="AG11" s="32">
        <f t="shared" si="116"/>
        <v>3.1578031821118402E-2</v>
      </c>
      <c r="AH11" s="52">
        <f t="shared" si="182"/>
        <v>319975.78349177935</v>
      </c>
      <c r="AI11" s="79">
        <f t="shared" si="117"/>
        <v>319975.78349177935</v>
      </c>
      <c r="AJ11" s="75" t="s">
        <v>8</v>
      </c>
      <c r="AK11" s="30" t="s">
        <v>8</v>
      </c>
      <c r="AL11" s="34">
        <f t="shared" si="118"/>
        <v>0.73347378462287682</v>
      </c>
      <c r="AM11" s="32">
        <f t="shared" si="119"/>
        <v>1.8686981438047479E-2</v>
      </c>
      <c r="AN11" s="52">
        <f t="shared" si="183"/>
        <v>196841.19479037094</v>
      </c>
      <c r="AO11" s="79">
        <f t="shared" si="120"/>
        <v>196841.19479037094</v>
      </c>
      <c r="AP11" s="75" t="s">
        <v>8</v>
      </c>
      <c r="AQ11" s="30" t="s">
        <v>8</v>
      </c>
      <c r="AR11" s="34">
        <f t="shared" si="121"/>
        <v>0.76954630751301789</v>
      </c>
      <c r="AS11" s="32">
        <f t="shared" si="122"/>
        <v>1.5577938941173097E-2</v>
      </c>
      <c r="AT11" s="52">
        <f t="shared" si="184"/>
        <v>168334.01532791232</v>
      </c>
      <c r="AU11" s="79">
        <f t="shared" si="123"/>
        <v>168334.01532791232</v>
      </c>
      <c r="AV11" s="75" t="s">
        <v>8</v>
      </c>
      <c r="AW11" s="30" t="s">
        <v>8</v>
      </c>
      <c r="AX11" s="34">
        <f t="shared" si="124"/>
        <v>0.80039469078752601</v>
      </c>
      <c r="AY11" s="32">
        <f t="shared" si="125"/>
        <v>1.009237792025186E-2</v>
      </c>
      <c r="AZ11" s="52">
        <f t="shared" si="185"/>
        <v>111347.19741218348</v>
      </c>
      <c r="BA11" s="79">
        <f t="shared" si="126"/>
        <v>111347.19741218348</v>
      </c>
      <c r="BB11" s="75" t="s">
        <v>8</v>
      </c>
      <c r="BC11" s="30" t="s">
        <v>8</v>
      </c>
      <c r="BD11" s="34">
        <f t="shared" si="127"/>
        <v>0.82079984191293731</v>
      </c>
      <c r="BE11" s="32">
        <f t="shared" si="128"/>
        <v>1.1626007387615545E-2</v>
      </c>
      <c r="BF11" s="52">
        <f t="shared" si="186"/>
        <v>130397.83493182484</v>
      </c>
      <c r="BG11" s="79">
        <f t="shared" si="129"/>
        <v>130397.83493182484</v>
      </c>
      <c r="BH11" s="75" t="s">
        <v>8</v>
      </c>
      <c r="BI11" s="30" t="s">
        <v>8</v>
      </c>
      <c r="BJ11" s="34">
        <f t="shared" si="130"/>
        <v>0.84469615533662112</v>
      </c>
      <c r="BK11" s="32">
        <f t="shared" si="131"/>
        <v>7.5816018044660982E-3</v>
      </c>
      <c r="BL11" s="52">
        <f t="shared" si="187"/>
        <v>86374.443758857349</v>
      </c>
      <c r="BM11" s="79">
        <f t="shared" si="132"/>
        <v>86374.443758857349</v>
      </c>
      <c r="BN11" s="75" t="s">
        <v>8</v>
      </c>
      <c r="BO11" s="30" t="s">
        <v>8</v>
      </c>
      <c r="BP11" s="34">
        <f t="shared" si="133"/>
        <v>0.86052487504609421</v>
      </c>
      <c r="BQ11" s="32">
        <f t="shared" si="134"/>
        <v>9.421593297626818E-3</v>
      </c>
      <c r="BR11" s="52">
        <f t="shared" si="188"/>
        <v>108737.62432242805</v>
      </c>
      <c r="BS11" s="129">
        <f t="shared" si="135"/>
        <v>19689.290658625345</v>
      </c>
      <c r="BT11" s="75" t="s">
        <v>8</v>
      </c>
      <c r="BU11" s="30" t="s">
        <v>8</v>
      </c>
      <c r="BV11" s="34">
        <f t="shared" si="189"/>
        <v>0.86413307498986258</v>
      </c>
      <c r="BW11" s="32">
        <f t="shared" si="136"/>
        <v>8.6953086799991253E-3</v>
      </c>
      <c r="BX11" s="52">
        <f t="shared" si="190"/>
        <v>100580.34330534717</v>
      </c>
      <c r="BY11" s="129">
        <f t="shared" si="137"/>
        <v>0</v>
      </c>
      <c r="BZ11" s="75" t="s">
        <v>8</v>
      </c>
      <c r="CA11" s="30" t="s">
        <v>8</v>
      </c>
      <c r="CB11" s="34">
        <f t="shared" si="191"/>
        <v>0.86413307498986258</v>
      </c>
      <c r="CC11" s="32">
        <f t="shared" si="138"/>
        <v>8.6953086799991253E-3</v>
      </c>
      <c r="CD11" s="52">
        <f t="shared" si="192"/>
        <v>100580.34330534717</v>
      </c>
      <c r="CE11" s="129">
        <f t="shared" si="139"/>
        <v>0</v>
      </c>
      <c r="CF11" s="75" t="s">
        <v>8</v>
      </c>
      <c r="CG11" s="30" t="s">
        <v>8</v>
      </c>
      <c r="CH11" s="34">
        <f t="shared" si="140"/>
        <v>0.86413307498986258</v>
      </c>
      <c r="CI11" s="32">
        <f t="shared" si="141"/>
        <v>8.6953086799991253E-3</v>
      </c>
      <c r="CJ11" s="52">
        <f t="shared" si="193"/>
        <v>100580.34330534717</v>
      </c>
      <c r="CK11" s="129">
        <f t="shared" si="142"/>
        <v>0</v>
      </c>
      <c r="CL11" s="75" t="s">
        <v>8</v>
      </c>
      <c r="CM11" s="30" t="s">
        <v>8</v>
      </c>
      <c r="CN11" s="34">
        <f t="shared" si="194"/>
        <v>0.86413307498986258</v>
      </c>
      <c r="CO11" s="32">
        <f t="shared" si="143"/>
        <v>8.6953086799991253E-3</v>
      </c>
      <c r="CP11" s="52">
        <f t="shared" si="195"/>
        <v>100580.34330534717</v>
      </c>
      <c r="CQ11" s="129">
        <f t="shared" si="144"/>
        <v>0</v>
      </c>
      <c r="CR11" s="75" t="s">
        <v>8</v>
      </c>
      <c r="CS11" s="30" t="s">
        <v>8</v>
      </c>
      <c r="CT11" s="34">
        <f t="shared" si="196"/>
        <v>0.86413307498986258</v>
      </c>
      <c r="CU11" s="32">
        <f t="shared" si="145"/>
        <v>8.6953086799991253E-3</v>
      </c>
      <c r="CV11" s="52">
        <f t="shared" si="197"/>
        <v>100580.34330534717</v>
      </c>
      <c r="CW11" s="129">
        <f t="shared" si="146"/>
        <v>0</v>
      </c>
      <c r="CX11" s="75" t="s">
        <v>8</v>
      </c>
      <c r="CY11" s="30" t="s">
        <v>8</v>
      </c>
      <c r="CZ11" s="34">
        <f t="shared" si="198"/>
        <v>0.86413307498986258</v>
      </c>
      <c r="DA11" s="32">
        <f t="shared" si="147"/>
        <v>8.6953086799991253E-3</v>
      </c>
      <c r="DB11" s="52">
        <f t="shared" si="199"/>
        <v>100580.34330534717</v>
      </c>
      <c r="DC11" s="129">
        <f t="shared" si="148"/>
        <v>0</v>
      </c>
      <c r="DD11" s="75" t="s">
        <v>8</v>
      </c>
      <c r="DE11" s="30" t="s">
        <v>8</v>
      </c>
      <c r="DF11" s="34">
        <f t="shared" si="200"/>
        <v>0.86413307498986258</v>
      </c>
      <c r="DG11" s="32">
        <f t="shared" si="149"/>
        <v>8.6953086799991253E-3</v>
      </c>
      <c r="DH11" s="52">
        <f t="shared" si="201"/>
        <v>100580.34330534717</v>
      </c>
      <c r="DI11" s="129">
        <f t="shared" si="150"/>
        <v>0</v>
      </c>
      <c r="DJ11" s="75" t="s">
        <v>8</v>
      </c>
      <c r="DK11" s="30" t="s">
        <v>8</v>
      </c>
      <c r="DL11" s="34">
        <f t="shared" si="202"/>
        <v>0.86413307498986258</v>
      </c>
      <c r="DM11" s="32">
        <f t="shared" si="151"/>
        <v>8.6953086799991253E-3</v>
      </c>
      <c r="DN11" s="52">
        <f t="shared" si="203"/>
        <v>100580.34330534717</v>
      </c>
      <c r="DO11" s="129">
        <f t="shared" si="152"/>
        <v>0</v>
      </c>
      <c r="DP11" s="75" t="s">
        <v>8</v>
      </c>
      <c r="DQ11" s="30" t="s">
        <v>8</v>
      </c>
      <c r="DR11" s="34">
        <f t="shared" si="204"/>
        <v>0.86413307498986258</v>
      </c>
      <c r="DS11" s="32">
        <f t="shared" si="153"/>
        <v>8.6953086799991253E-3</v>
      </c>
      <c r="DT11" s="52">
        <f t="shared" si="205"/>
        <v>100580.34330534717</v>
      </c>
      <c r="DU11" s="129">
        <f t="shared" si="154"/>
        <v>0</v>
      </c>
      <c r="DV11" s="75" t="s">
        <v>8</v>
      </c>
      <c r="DW11" s="30" t="s">
        <v>8</v>
      </c>
      <c r="DX11" s="34">
        <f t="shared" si="206"/>
        <v>0.86413307498986258</v>
      </c>
      <c r="DY11" s="32">
        <f t="shared" si="155"/>
        <v>8.6953086799991253E-3</v>
      </c>
      <c r="DZ11" s="33">
        <f t="shared" si="207"/>
        <v>100580.34330534717</v>
      </c>
      <c r="EA11" s="79">
        <f t="shared" si="156"/>
        <v>0</v>
      </c>
      <c r="EB11" s="75" t="s">
        <v>8</v>
      </c>
      <c r="EC11" s="30" t="s">
        <v>8</v>
      </c>
      <c r="ED11" s="34">
        <f t="shared" si="208"/>
        <v>0.86413307498986258</v>
      </c>
      <c r="EE11" s="32">
        <f t="shared" si="157"/>
        <v>8.6953086799991253E-3</v>
      </c>
      <c r="EF11" s="33">
        <f t="shared" si="209"/>
        <v>100580.34330534717</v>
      </c>
      <c r="EG11" s="79">
        <f t="shared" si="158"/>
        <v>0</v>
      </c>
      <c r="EH11" s="75" t="s">
        <v>8</v>
      </c>
      <c r="EI11" s="30" t="s">
        <v>8</v>
      </c>
      <c r="EJ11" s="34">
        <f t="shared" si="210"/>
        <v>0.86413307498986258</v>
      </c>
      <c r="EK11" s="32">
        <f t="shared" si="159"/>
        <v>8.6953086799991253E-3</v>
      </c>
      <c r="EL11" s="33">
        <f t="shared" si="211"/>
        <v>100580.34330534717</v>
      </c>
      <c r="EM11" s="79">
        <f t="shared" si="160"/>
        <v>0</v>
      </c>
      <c r="EN11" s="75" t="s">
        <v>8</v>
      </c>
      <c r="EO11" s="30" t="s">
        <v>8</v>
      </c>
      <c r="EP11" s="34">
        <f t="shared" si="212"/>
        <v>0.86413307498986258</v>
      </c>
      <c r="EQ11" s="32">
        <f t="shared" si="161"/>
        <v>8.6953086799991253E-3</v>
      </c>
      <c r="ER11" s="33">
        <f t="shared" si="213"/>
        <v>100580.34330534717</v>
      </c>
      <c r="ES11" s="79">
        <f t="shared" si="162"/>
        <v>0</v>
      </c>
      <c r="ET11" s="75" t="s">
        <v>8</v>
      </c>
      <c r="EU11" s="30" t="s">
        <v>8</v>
      </c>
      <c r="EV11" s="34">
        <f t="shared" si="214"/>
        <v>0.86413307498986258</v>
      </c>
      <c r="EW11" s="32">
        <f t="shared" si="163"/>
        <v>8.6953086799991253E-3</v>
      </c>
      <c r="EX11" s="33">
        <f t="shared" si="215"/>
        <v>100580.34330534717</v>
      </c>
      <c r="EY11" s="79">
        <f t="shared" si="164"/>
        <v>0</v>
      </c>
      <c r="EZ11" s="75" t="s">
        <v>8</v>
      </c>
      <c r="FA11" s="30" t="s">
        <v>8</v>
      </c>
      <c r="FB11" s="34">
        <f t="shared" si="216"/>
        <v>0.86413307498986258</v>
      </c>
      <c r="FC11" s="32">
        <f t="shared" si="165"/>
        <v>8.6953086799991253E-3</v>
      </c>
      <c r="FD11" s="33">
        <f t="shared" si="217"/>
        <v>100580.34330534717</v>
      </c>
      <c r="FE11" s="79">
        <f t="shared" si="166"/>
        <v>0</v>
      </c>
      <c r="FF11" s="75" t="s">
        <v>8</v>
      </c>
      <c r="FG11" s="30" t="s">
        <v>8</v>
      </c>
      <c r="FH11" s="34">
        <f t="shared" si="218"/>
        <v>0.86413307498986258</v>
      </c>
      <c r="FI11" s="32">
        <f t="shared" si="167"/>
        <v>8.6953086799991253E-3</v>
      </c>
      <c r="FJ11" s="33">
        <f t="shared" si="219"/>
        <v>100580.34330534717</v>
      </c>
      <c r="FK11" s="79">
        <f t="shared" si="168"/>
        <v>0</v>
      </c>
      <c r="FL11" s="75" t="s">
        <v>8</v>
      </c>
      <c r="FM11" s="30" t="s">
        <v>8</v>
      </c>
      <c r="FN11" s="34">
        <f t="shared" si="220"/>
        <v>0.86413307498986258</v>
      </c>
      <c r="FO11" s="32">
        <f t="shared" si="169"/>
        <v>8.6953086799991253E-3</v>
      </c>
      <c r="FP11" s="33">
        <f t="shared" si="221"/>
        <v>100580.34330534717</v>
      </c>
      <c r="FQ11" s="79">
        <f t="shared" si="170"/>
        <v>0</v>
      </c>
      <c r="FR11" s="75" t="s">
        <v>8</v>
      </c>
      <c r="FS11" s="30" t="s">
        <v>8</v>
      </c>
      <c r="FT11" s="34">
        <f t="shared" si="222"/>
        <v>0.86413307498986258</v>
      </c>
      <c r="FU11" s="32">
        <f t="shared" si="171"/>
        <v>8.6953086799991253E-3</v>
      </c>
      <c r="FV11" s="33">
        <f t="shared" si="223"/>
        <v>100580.34330534717</v>
      </c>
      <c r="FW11" s="79">
        <f t="shared" si="172"/>
        <v>0</v>
      </c>
      <c r="FX11" s="75" t="s">
        <v>8</v>
      </c>
      <c r="FY11" s="30" t="s">
        <v>8</v>
      </c>
      <c r="FZ11" s="34">
        <f t="shared" si="224"/>
        <v>0.86413307498986258</v>
      </c>
      <c r="GA11" s="32">
        <f t="shared" si="173"/>
        <v>8.6953086799991253E-3</v>
      </c>
      <c r="GB11" s="33">
        <f t="shared" si="225"/>
        <v>100580.34330534717</v>
      </c>
      <c r="GC11" s="79">
        <f t="shared" si="174"/>
        <v>0</v>
      </c>
      <c r="GD11" s="75" t="s">
        <v>8</v>
      </c>
      <c r="GE11" s="30" t="s">
        <v>8</v>
      </c>
      <c r="GF11" s="34">
        <f t="shared" si="226"/>
        <v>0.86413307498986258</v>
      </c>
      <c r="GG11" s="32">
        <f t="shared" si="175"/>
        <v>8.6953086799991253E-3</v>
      </c>
      <c r="GH11" s="33">
        <f t="shared" si="227"/>
        <v>100580.34330534717</v>
      </c>
      <c r="GI11" s="129">
        <f t="shared" si="176"/>
        <v>0</v>
      </c>
      <c r="GJ11" s="178">
        <f t="shared" si="228"/>
        <v>2953742.9179747612</v>
      </c>
      <c r="GK11" s="94">
        <f t="shared" si="177"/>
        <v>3531638.4397580484</v>
      </c>
      <c r="GL11" s="94">
        <v>3531638.44</v>
      </c>
      <c r="GM11" s="85">
        <f t="shared" si="178"/>
        <v>0.86413307498986247</v>
      </c>
    </row>
    <row r="12" spans="1:195" s="25" customFormat="1" x14ac:dyDescent="0.25">
      <c r="A12" s="243" t="s">
        <v>181</v>
      </c>
      <c r="B12" s="165" t="s">
        <v>8</v>
      </c>
      <c r="C12" s="165" t="s">
        <v>8</v>
      </c>
      <c r="D12" s="165" t="s">
        <v>8</v>
      </c>
      <c r="E12" s="165" t="s">
        <v>8</v>
      </c>
      <c r="F12" s="165" t="s">
        <v>8</v>
      </c>
      <c r="G12" s="103">
        <f>'Исходные данные'!C14</f>
        <v>671</v>
      </c>
      <c r="H12" s="33">
        <f>'Исходные данные'!D14</f>
        <v>584804.18000000005</v>
      </c>
      <c r="I12" s="31">
        <f>'Расчет КРП'!G10</f>
        <v>4.7819088804207688</v>
      </c>
      <c r="J12" s="110" t="s">
        <v>8</v>
      </c>
      <c r="K12" s="114">
        <f t="shared" si="104"/>
        <v>0.13928452106016123</v>
      </c>
      <c r="L12" s="76">
        <f t="shared" si="105"/>
        <v>393273.72729876824</v>
      </c>
      <c r="M12" s="72">
        <f t="shared" si="106"/>
        <v>0.23295167431538147</v>
      </c>
      <c r="N12" s="30" t="s">
        <v>8</v>
      </c>
      <c r="O12" s="32">
        <f t="shared" si="107"/>
        <v>0.2115460699711065</v>
      </c>
      <c r="P12" s="33">
        <f t="shared" si="179"/>
        <v>1286037.0479201626</v>
      </c>
      <c r="Q12" s="79">
        <f t="shared" si="108"/>
        <v>1286037.0479201626</v>
      </c>
      <c r="R12" s="170" t="s">
        <v>8</v>
      </c>
      <c r="S12" s="30" t="s">
        <v>8</v>
      </c>
      <c r="T12" s="34">
        <f t="shared" si="109"/>
        <v>0.53925087738397692</v>
      </c>
      <c r="U12" s="32">
        <f t="shared" si="110"/>
        <v>2.5057904130853625E-2</v>
      </c>
      <c r="V12" s="52">
        <f t="shared" si="180"/>
        <v>171839.60780181162</v>
      </c>
      <c r="W12" s="79">
        <f t="shared" si="111"/>
        <v>171839.60780181162</v>
      </c>
      <c r="X12" s="75" t="s">
        <v>8</v>
      </c>
      <c r="Y12" s="30" t="s">
        <v>8</v>
      </c>
      <c r="Z12" s="34">
        <f t="shared" si="112"/>
        <v>0.58017841909860901</v>
      </c>
      <c r="AA12" s="32">
        <f t="shared" si="113"/>
        <v>6.4723286119147794E-2</v>
      </c>
      <c r="AB12" s="52">
        <f t="shared" si="181"/>
        <v>479132.17444048234</v>
      </c>
      <c r="AC12" s="79">
        <f t="shared" si="114"/>
        <v>479132.17444048234</v>
      </c>
      <c r="AD12" s="75" t="s">
        <v>8</v>
      </c>
      <c r="AE12" s="30" t="s">
        <v>8</v>
      </c>
      <c r="AF12" s="34">
        <f t="shared" si="115"/>
        <v>0.69429472969244954</v>
      </c>
      <c r="AG12" s="32">
        <f t="shared" si="116"/>
        <v>1.2119291006655097E-2</v>
      </c>
      <c r="AH12" s="52">
        <f t="shared" si="182"/>
        <v>94488.162875875612</v>
      </c>
      <c r="AI12" s="79">
        <f t="shared" si="117"/>
        <v>94488.162875875612</v>
      </c>
      <c r="AJ12" s="75" t="s">
        <v>8</v>
      </c>
      <c r="AK12" s="30" t="s">
        <v>8</v>
      </c>
      <c r="AL12" s="34">
        <f t="shared" si="118"/>
        <v>0.71679925165400749</v>
      </c>
      <c r="AM12" s="32">
        <f t="shared" si="119"/>
        <v>3.5361514406916816E-2</v>
      </c>
      <c r="AN12" s="52">
        <f t="shared" si="183"/>
        <v>286599.76665605651</v>
      </c>
      <c r="AO12" s="79">
        <f t="shared" si="120"/>
        <v>286599.76665605651</v>
      </c>
      <c r="AP12" s="75" t="s">
        <v>8</v>
      </c>
      <c r="AQ12" s="30" t="s">
        <v>8</v>
      </c>
      <c r="AR12" s="34">
        <f t="shared" si="121"/>
        <v>0.78505955587181042</v>
      </c>
      <c r="AS12" s="32">
        <f t="shared" si="122"/>
        <v>6.4690582380566575E-5</v>
      </c>
      <c r="AT12" s="52">
        <f t="shared" si="184"/>
        <v>537.86227538247385</v>
      </c>
      <c r="AU12" s="79">
        <f t="shared" si="123"/>
        <v>537.86227538247385</v>
      </c>
      <c r="AV12" s="75" t="s">
        <v>8</v>
      </c>
      <c r="AW12" s="30" t="s">
        <v>8</v>
      </c>
      <c r="AX12" s="34">
        <f t="shared" si="124"/>
        <v>0.7851876601022264</v>
      </c>
      <c r="AY12" s="32">
        <f t="shared" si="125"/>
        <v>2.5299408605551466E-2</v>
      </c>
      <c r="AZ12" s="52">
        <f t="shared" si="185"/>
        <v>214765.38907540863</v>
      </c>
      <c r="BA12" s="79">
        <f t="shared" si="126"/>
        <v>214765.38907540863</v>
      </c>
      <c r="BB12" s="75" t="s">
        <v>8</v>
      </c>
      <c r="BC12" s="30" t="s">
        <v>8</v>
      </c>
      <c r="BD12" s="34">
        <f t="shared" si="127"/>
        <v>0.83633896062416779</v>
      </c>
      <c r="BE12" s="32">
        <f t="shared" si="128"/>
        <v>-3.9131113236149373E-3</v>
      </c>
      <c r="BF12" s="52">
        <f t="shared" si="186"/>
        <v>0</v>
      </c>
      <c r="BG12" s="79">
        <f t="shared" si="129"/>
        <v>0</v>
      </c>
      <c r="BH12" s="75" t="s">
        <v>8</v>
      </c>
      <c r="BI12" s="30" t="s">
        <v>8</v>
      </c>
      <c r="BJ12" s="34">
        <f t="shared" si="130"/>
        <v>0.83633896062416779</v>
      </c>
      <c r="BK12" s="32">
        <f t="shared" si="131"/>
        <v>1.5938796516919429E-2</v>
      </c>
      <c r="BL12" s="52">
        <f t="shared" si="187"/>
        <v>139716.58342785086</v>
      </c>
      <c r="BM12" s="79">
        <f t="shared" si="132"/>
        <v>139716.58342785086</v>
      </c>
      <c r="BN12" s="75" t="s">
        <v>8</v>
      </c>
      <c r="BO12" s="30" t="s">
        <v>8</v>
      </c>
      <c r="BP12" s="34">
        <f t="shared" si="133"/>
        <v>0.86961566772108057</v>
      </c>
      <c r="BQ12" s="32">
        <f t="shared" si="134"/>
        <v>3.3080062264045917E-4</v>
      </c>
      <c r="BR12" s="52">
        <f t="shared" si="188"/>
        <v>2937.5816308154049</v>
      </c>
      <c r="BS12" s="129">
        <f t="shared" si="135"/>
        <v>531.91247209024596</v>
      </c>
      <c r="BT12" s="75" t="s">
        <v>8</v>
      </c>
      <c r="BU12" s="30" t="s">
        <v>8</v>
      </c>
      <c r="BV12" s="34">
        <f t="shared" si="189"/>
        <v>0.86974235486945406</v>
      </c>
      <c r="BW12" s="32">
        <f t="shared" si="136"/>
        <v>3.0860288004076475E-3</v>
      </c>
      <c r="BX12" s="52">
        <f t="shared" si="190"/>
        <v>27466.051038870304</v>
      </c>
      <c r="BY12" s="129">
        <f t="shared" si="137"/>
        <v>0</v>
      </c>
      <c r="BZ12" s="75" t="s">
        <v>8</v>
      </c>
      <c r="CA12" s="30" t="s">
        <v>8</v>
      </c>
      <c r="CB12" s="34">
        <f t="shared" si="191"/>
        <v>0.86974235486945406</v>
      </c>
      <c r="CC12" s="32">
        <f t="shared" si="138"/>
        <v>3.0860288004076475E-3</v>
      </c>
      <c r="CD12" s="52">
        <f t="shared" si="192"/>
        <v>27466.051038870304</v>
      </c>
      <c r="CE12" s="129">
        <f t="shared" si="139"/>
        <v>0</v>
      </c>
      <c r="CF12" s="75" t="s">
        <v>8</v>
      </c>
      <c r="CG12" s="30" t="s">
        <v>8</v>
      </c>
      <c r="CH12" s="34">
        <f t="shared" si="140"/>
        <v>0.86974235486945406</v>
      </c>
      <c r="CI12" s="32">
        <f t="shared" si="141"/>
        <v>3.0860288004076475E-3</v>
      </c>
      <c r="CJ12" s="52">
        <f t="shared" si="193"/>
        <v>27466.051038870304</v>
      </c>
      <c r="CK12" s="129">
        <f t="shared" si="142"/>
        <v>0</v>
      </c>
      <c r="CL12" s="75" t="s">
        <v>8</v>
      </c>
      <c r="CM12" s="30" t="s">
        <v>8</v>
      </c>
      <c r="CN12" s="34">
        <f t="shared" si="194"/>
        <v>0.86974235486945406</v>
      </c>
      <c r="CO12" s="32">
        <f t="shared" si="143"/>
        <v>3.0860288004076475E-3</v>
      </c>
      <c r="CP12" s="52">
        <f t="shared" si="195"/>
        <v>27466.051038870304</v>
      </c>
      <c r="CQ12" s="129">
        <f t="shared" si="144"/>
        <v>0</v>
      </c>
      <c r="CR12" s="75" t="s">
        <v>8</v>
      </c>
      <c r="CS12" s="30" t="s">
        <v>8</v>
      </c>
      <c r="CT12" s="34">
        <f t="shared" si="196"/>
        <v>0.86974235486945406</v>
      </c>
      <c r="CU12" s="32">
        <f t="shared" si="145"/>
        <v>3.0860288004076475E-3</v>
      </c>
      <c r="CV12" s="52">
        <f t="shared" si="197"/>
        <v>27466.051038870304</v>
      </c>
      <c r="CW12" s="129">
        <f t="shared" si="146"/>
        <v>0</v>
      </c>
      <c r="CX12" s="75" t="s">
        <v>8</v>
      </c>
      <c r="CY12" s="30" t="s">
        <v>8</v>
      </c>
      <c r="CZ12" s="34">
        <f t="shared" si="198"/>
        <v>0.86974235486945406</v>
      </c>
      <c r="DA12" s="32">
        <f t="shared" si="147"/>
        <v>3.0860288004076475E-3</v>
      </c>
      <c r="DB12" s="52">
        <f t="shared" si="199"/>
        <v>27466.051038870304</v>
      </c>
      <c r="DC12" s="129">
        <f t="shared" si="148"/>
        <v>0</v>
      </c>
      <c r="DD12" s="75" t="s">
        <v>8</v>
      </c>
      <c r="DE12" s="30" t="s">
        <v>8</v>
      </c>
      <c r="DF12" s="34">
        <f t="shared" si="200"/>
        <v>0.86974235486945406</v>
      </c>
      <c r="DG12" s="32">
        <f t="shared" si="149"/>
        <v>3.0860288004076475E-3</v>
      </c>
      <c r="DH12" s="52">
        <f t="shared" si="201"/>
        <v>27466.051038870304</v>
      </c>
      <c r="DI12" s="129">
        <f t="shared" si="150"/>
        <v>0</v>
      </c>
      <c r="DJ12" s="75" t="s">
        <v>8</v>
      </c>
      <c r="DK12" s="30" t="s">
        <v>8</v>
      </c>
      <c r="DL12" s="34">
        <f t="shared" si="202"/>
        <v>0.86974235486945406</v>
      </c>
      <c r="DM12" s="32">
        <f t="shared" si="151"/>
        <v>3.0860288004076475E-3</v>
      </c>
      <c r="DN12" s="52">
        <f t="shared" si="203"/>
        <v>27466.051038870304</v>
      </c>
      <c r="DO12" s="129">
        <f t="shared" si="152"/>
        <v>0</v>
      </c>
      <c r="DP12" s="75" t="s">
        <v>8</v>
      </c>
      <c r="DQ12" s="30" t="s">
        <v>8</v>
      </c>
      <c r="DR12" s="34">
        <f t="shared" si="204"/>
        <v>0.86974235486945406</v>
      </c>
      <c r="DS12" s="32">
        <f t="shared" si="153"/>
        <v>3.0860288004076475E-3</v>
      </c>
      <c r="DT12" s="52">
        <f t="shared" si="205"/>
        <v>27466.051038870304</v>
      </c>
      <c r="DU12" s="129">
        <f t="shared" si="154"/>
        <v>0</v>
      </c>
      <c r="DV12" s="75" t="s">
        <v>8</v>
      </c>
      <c r="DW12" s="30" t="s">
        <v>8</v>
      </c>
      <c r="DX12" s="34">
        <f t="shared" si="206"/>
        <v>0.86974235486945406</v>
      </c>
      <c r="DY12" s="32">
        <f t="shared" si="155"/>
        <v>3.0860288004076475E-3</v>
      </c>
      <c r="DZ12" s="33">
        <f t="shared" si="207"/>
        <v>27466.051038870304</v>
      </c>
      <c r="EA12" s="79">
        <f t="shared" si="156"/>
        <v>0</v>
      </c>
      <c r="EB12" s="75" t="s">
        <v>8</v>
      </c>
      <c r="EC12" s="30" t="s">
        <v>8</v>
      </c>
      <c r="ED12" s="34">
        <f t="shared" si="208"/>
        <v>0.86974235486945406</v>
      </c>
      <c r="EE12" s="32">
        <f t="shared" si="157"/>
        <v>3.0860288004076475E-3</v>
      </c>
      <c r="EF12" s="33">
        <f t="shared" si="209"/>
        <v>27466.051038870304</v>
      </c>
      <c r="EG12" s="79">
        <f t="shared" si="158"/>
        <v>0</v>
      </c>
      <c r="EH12" s="75" t="s">
        <v>8</v>
      </c>
      <c r="EI12" s="30" t="s">
        <v>8</v>
      </c>
      <c r="EJ12" s="34">
        <f t="shared" si="210"/>
        <v>0.86974235486945406</v>
      </c>
      <c r="EK12" s="32">
        <f t="shared" si="159"/>
        <v>3.0860288004076475E-3</v>
      </c>
      <c r="EL12" s="33">
        <f t="shared" si="211"/>
        <v>27466.051038870304</v>
      </c>
      <c r="EM12" s="79">
        <f t="shared" si="160"/>
        <v>0</v>
      </c>
      <c r="EN12" s="75" t="s">
        <v>8</v>
      </c>
      <c r="EO12" s="30" t="s">
        <v>8</v>
      </c>
      <c r="EP12" s="34">
        <f t="shared" si="212"/>
        <v>0.86974235486945406</v>
      </c>
      <c r="EQ12" s="32">
        <f t="shared" si="161"/>
        <v>3.0860288004076475E-3</v>
      </c>
      <c r="ER12" s="33">
        <f t="shared" si="213"/>
        <v>27466.051038870304</v>
      </c>
      <c r="ES12" s="79">
        <f t="shared" si="162"/>
        <v>0</v>
      </c>
      <c r="ET12" s="75" t="s">
        <v>8</v>
      </c>
      <c r="EU12" s="30" t="s">
        <v>8</v>
      </c>
      <c r="EV12" s="34">
        <f t="shared" si="214"/>
        <v>0.86974235486945406</v>
      </c>
      <c r="EW12" s="32">
        <f t="shared" si="163"/>
        <v>3.0860288004076475E-3</v>
      </c>
      <c r="EX12" s="33">
        <f t="shared" si="215"/>
        <v>27466.051038870304</v>
      </c>
      <c r="EY12" s="79">
        <f t="shared" si="164"/>
        <v>0</v>
      </c>
      <c r="EZ12" s="75" t="s">
        <v>8</v>
      </c>
      <c r="FA12" s="30" t="s">
        <v>8</v>
      </c>
      <c r="FB12" s="34">
        <f t="shared" si="216"/>
        <v>0.86974235486945406</v>
      </c>
      <c r="FC12" s="32">
        <f t="shared" si="165"/>
        <v>3.0860288004076475E-3</v>
      </c>
      <c r="FD12" s="33">
        <f t="shared" si="217"/>
        <v>27466.051038870304</v>
      </c>
      <c r="FE12" s="79">
        <f t="shared" si="166"/>
        <v>0</v>
      </c>
      <c r="FF12" s="75" t="s">
        <v>8</v>
      </c>
      <c r="FG12" s="30" t="s">
        <v>8</v>
      </c>
      <c r="FH12" s="34">
        <f t="shared" si="218"/>
        <v>0.86974235486945406</v>
      </c>
      <c r="FI12" s="32">
        <f t="shared" si="167"/>
        <v>3.0860288004076475E-3</v>
      </c>
      <c r="FJ12" s="33">
        <f t="shared" si="219"/>
        <v>27466.051038870304</v>
      </c>
      <c r="FK12" s="79">
        <f t="shared" si="168"/>
        <v>0</v>
      </c>
      <c r="FL12" s="75" t="s">
        <v>8</v>
      </c>
      <c r="FM12" s="30" t="s">
        <v>8</v>
      </c>
      <c r="FN12" s="34">
        <f t="shared" si="220"/>
        <v>0.86974235486945406</v>
      </c>
      <c r="FO12" s="32">
        <f t="shared" si="169"/>
        <v>3.0860288004076475E-3</v>
      </c>
      <c r="FP12" s="33">
        <f t="shared" si="221"/>
        <v>27466.051038870304</v>
      </c>
      <c r="FQ12" s="79">
        <f t="shared" si="170"/>
        <v>0</v>
      </c>
      <c r="FR12" s="75" t="s">
        <v>8</v>
      </c>
      <c r="FS12" s="30" t="s">
        <v>8</v>
      </c>
      <c r="FT12" s="34">
        <f t="shared" si="222"/>
        <v>0.86974235486945406</v>
      </c>
      <c r="FU12" s="32">
        <f t="shared" si="171"/>
        <v>3.0860288004076475E-3</v>
      </c>
      <c r="FV12" s="33">
        <f t="shared" si="223"/>
        <v>27466.051038870304</v>
      </c>
      <c r="FW12" s="79">
        <f t="shared" si="172"/>
        <v>0</v>
      </c>
      <c r="FX12" s="75" t="s">
        <v>8</v>
      </c>
      <c r="FY12" s="30" t="s">
        <v>8</v>
      </c>
      <c r="FZ12" s="34">
        <f t="shared" si="224"/>
        <v>0.86974235486945406</v>
      </c>
      <c r="GA12" s="32">
        <f t="shared" si="173"/>
        <v>3.0860288004076475E-3</v>
      </c>
      <c r="GB12" s="33">
        <f t="shared" si="225"/>
        <v>27466.051038870304</v>
      </c>
      <c r="GC12" s="79">
        <f t="shared" si="174"/>
        <v>0</v>
      </c>
      <c r="GD12" s="75" t="s">
        <v>8</v>
      </c>
      <c r="GE12" s="30" t="s">
        <v>8</v>
      </c>
      <c r="GF12" s="34">
        <f t="shared" si="226"/>
        <v>0.86974235486945406</v>
      </c>
      <c r="GG12" s="32">
        <f t="shared" si="175"/>
        <v>3.0860288004076475E-3</v>
      </c>
      <c r="GH12" s="33">
        <f t="shared" si="227"/>
        <v>27466.051038870304</v>
      </c>
      <c r="GI12" s="129">
        <f t="shared" si="176"/>
        <v>0</v>
      </c>
      <c r="GJ12" s="178">
        <f t="shared" si="228"/>
        <v>2673648.5069451206</v>
      </c>
      <c r="GK12" s="94">
        <f t="shared" si="177"/>
        <v>3066922.2342438889</v>
      </c>
      <c r="GL12" s="94">
        <v>3066922.23</v>
      </c>
      <c r="GM12" s="85">
        <f t="shared" si="178"/>
        <v>0.86974235486945373</v>
      </c>
    </row>
    <row r="13" spans="1:195" s="25" customFormat="1" ht="15.75" customHeight="1" x14ac:dyDescent="0.25">
      <c r="A13" s="243" t="s">
        <v>182</v>
      </c>
      <c r="B13" s="165" t="s">
        <v>8</v>
      </c>
      <c r="C13" s="165" t="s">
        <v>8</v>
      </c>
      <c r="D13" s="165" t="s">
        <v>8</v>
      </c>
      <c r="E13" s="165" t="s">
        <v>8</v>
      </c>
      <c r="F13" s="165" t="s">
        <v>8</v>
      </c>
      <c r="G13" s="103">
        <f>'Исходные данные'!C15</f>
        <v>1550</v>
      </c>
      <c r="H13" s="33">
        <f>'Исходные данные'!D15</f>
        <v>866307.59</v>
      </c>
      <c r="I13" s="31">
        <f>'Расчет КРП'!G11</f>
        <v>2.3361993239121737</v>
      </c>
      <c r="J13" s="110" t="s">
        <v>8</v>
      </c>
      <c r="K13" s="114">
        <f t="shared" si="104"/>
        <v>0.18282969335612348</v>
      </c>
      <c r="L13" s="76">
        <f t="shared" si="105"/>
        <v>908456.449050806</v>
      </c>
      <c r="M13" s="72">
        <f t="shared" si="106"/>
        <v>0.37455468333035613</v>
      </c>
      <c r="N13" s="30" t="s">
        <v>8</v>
      </c>
      <c r="O13" s="32">
        <f t="shared" si="107"/>
        <v>6.9943060956131842E-2</v>
      </c>
      <c r="P13" s="33">
        <f t="shared" si="179"/>
        <v>479855.99890340527</v>
      </c>
      <c r="Q13" s="79">
        <f t="shared" si="108"/>
        <v>479855.99890340527</v>
      </c>
      <c r="R13" s="170" t="s">
        <v>8</v>
      </c>
      <c r="S13" s="30" t="s">
        <v>8</v>
      </c>
      <c r="T13" s="34">
        <f t="shared" si="109"/>
        <v>0.47582578628191391</v>
      </c>
      <c r="U13" s="32">
        <f t="shared" si="110"/>
        <v>8.8482995232916639E-2</v>
      </c>
      <c r="V13" s="52">
        <f t="shared" si="180"/>
        <v>684787.96723894496</v>
      </c>
      <c r="W13" s="79">
        <f t="shared" si="111"/>
        <v>684787.96723894496</v>
      </c>
      <c r="X13" s="75" t="s">
        <v>8</v>
      </c>
      <c r="Y13" s="30" t="s">
        <v>8</v>
      </c>
      <c r="Z13" s="34">
        <f t="shared" si="112"/>
        <v>0.6203467110775277</v>
      </c>
      <c r="AA13" s="32">
        <f t="shared" si="113"/>
        <v>2.4554994140229103E-2</v>
      </c>
      <c r="AB13" s="52">
        <f t="shared" si="181"/>
        <v>205140.96146866772</v>
      </c>
      <c r="AC13" s="79">
        <f t="shared" si="114"/>
        <v>205140.96146866772</v>
      </c>
      <c r="AD13" s="75" t="s">
        <v>8</v>
      </c>
      <c r="AE13" s="30" t="s">
        <v>8</v>
      </c>
      <c r="AF13" s="34">
        <f t="shared" si="115"/>
        <v>0.66364063983105148</v>
      </c>
      <c r="AG13" s="32">
        <f t="shared" si="116"/>
        <v>4.2773380868053157E-2</v>
      </c>
      <c r="AH13" s="52">
        <f t="shared" si="182"/>
        <v>376349.6753487066</v>
      </c>
      <c r="AI13" s="79">
        <f t="shared" si="117"/>
        <v>376349.6753487066</v>
      </c>
      <c r="AJ13" s="75" t="s">
        <v>8</v>
      </c>
      <c r="AK13" s="30" t="s">
        <v>8</v>
      </c>
      <c r="AL13" s="34">
        <f t="shared" si="118"/>
        <v>0.74306727366520808</v>
      </c>
      <c r="AM13" s="32">
        <f t="shared" si="119"/>
        <v>9.0934923957162184E-3</v>
      </c>
      <c r="AN13" s="52">
        <f t="shared" si="183"/>
        <v>83175.124570430678</v>
      </c>
      <c r="AO13" s="79">
        <f t="shared" si="120"/>
        <v>83175.124570430678</v>
      </c>
      <c r="AP13" s="75" t="s">
        <v>8</v>
      </c>
      <c r="AQ13" s="30" t="s">
        <v>8</v>
      </c>
      <c r="AR13" s="34">
        <f t="shared" si="121"/>
        <v>0.76062094939840719</v>
      </c>
      <c r="AS13" s="32">
        <f t="shared" si="122"/>
        <v>2.4503297055783801E-2</v>
      </c>
      <c r="AT13" s="52">
        <f t="shared" si="184"/>
        <v>229917.65667349481</v>
      </c>
      <c r="AU13" s="79">
        <f t="shared" si="123"/>
        <v>229917.65667349481</v>
      </c>
      <c r="AV13" s="75" t="s">
        <v>8</v>
      </c>
      <c r="AW13" s="30" t="s">
        <v>8</v>
      </c>
      <c r="AX13" s="34">
        <f t="shared" si="124"/>
        <v>0.80914387030087043</v>
      </c>
      <c r="AY13" s="32">
        <f t="shared" si="125"/>
        <v>1.3431984069074421E-3</v>
      </c>
      <c r="AZ13" s="52">
        <f t="shared" si="185"/>
        <v>12868.024153569004</v>
      </c>
      <c r="BA13" s="79">
        <f t="shared" si="126"/>
        <v>12868.024153569004</v>
      </c>
      <c r="BB13" s="75" t="s">
        <v>8</v>
      </c>
      <c r="BC13" s="30" t="s">
        <v>8</v>
      </c>
      <c r="BD13" s="34">
        <f t="shared" si="127"/>
        <v>0.81185959960678156</v>
      </c>
      <c r="BE13" s="32">
        <f t="shared" si="128"/>
        <v>2.0566249693771299E-2</v>
      </c>
      <c r="BF13" s="52">
        <f t="shared" si="186"/>
        <v>200299.93300948097</v>
      </c>
      <c r="BG13" s="79">
        <f t="shared" si="129"/>
        <v>200299.93300948097</v>
      </c>
      <c r="BH13" s="75" t="s">
        <v>8</v>
      </c>
      <c r="BI13" s="30" t="s">
        <v>8</v>
      </c>
      <c r="BJ13" s="34">
        <f t="shared" si="130"/>
        <v>0.85413185458191743</v>
      </c>
      <c r="BK13" s="32">
        <f t="shared" si="131"/>
        <v>-1.8540974408302047E-3</v>
      </c>
      <c r="BL13" s="52">
        <f t="shared" si="187"/>
        <v>0</v>
      </c>
      <c r="BM13" s="79">
        <f t="shared" si="132"/>
        <v>0</v>
      </c>
      <c r="BN13" s="75" t="s">
        <v>8</v>
      </c>
      <c r="BO13" s="30" t="s">
        <v>8</v>
      </c>
      <c r="BP13" s="34">
        <f t="shared" si="133"/>
        <v>0.85413185458191743</v>
      </c>
      <c r="BQ13" s="32">
        <f t="shared" si="134"/>
        <v>1.5814613761803598E-2</v>
      </c>
      <c r="BR13" s="52">
        <f t="shared" si="188"/>
        <v>158489.31586071057</v>
      </c>
      <c r="BS13" s="129">
        <f t="shared" si="135"/>
        <v>28697.906779857545</v>
      </c>
      <c r="BT13" s="75" t="s">
        <v>8</v>
      </c>
      <c r="BU13" s="30" t="s">
        <v>8</v>
      </c>
      <c r="BV13" s="34">
        <f t="shared" si="189"/>
        <v>0.86018839795876112</v>
      </c>
      <c r="BW13" s="32">
        <f t="shared" si="136"/>
        <v>1.2639985711100588E-2</v>
      </c>
      <c r="BX13" s="52">
        <f t="shared" si="190"/>
        <v>126958.15617888312</v>
      </c>
      <c r="BY13" s="129">
        <f t="shared" si="137"/>
        <v>0</v>
      </c>
      <c r="BZ13" s="75" t="s">
        <v>8</v>
      </c>
      <c r="CA13" s="30" t="s">
        <v>8</v>
      </c>
      <c r="CB13" s="34">
        <f t="shared" si="191"/>
        <v>0.86018839795876112</v>
      </c>
      <c r="CC13" s="32">
        <f t="shared" si="138"/>
        <v>1.2639985711100588E-2</v>
      </c>
      <c r="CD13" s="52">
        <f t="shared" si="192"/>
        <v>126958.15617888312</v>
      </c>
      <c r="CE13" s="129">
        <f t="shared" si="139"/>
        <v>0</v>
      </c>
      <c r="CF13" s="75" t="s">
        <v>8</v>
      </c>
      <c r="CG13" s="30" t="s">
        <v>8</v>
      </c>
      <c r="CH13" s="34">
        <f t="shared" si="140"/>
        <v>0.86018839795876112</v>
      </c>
      <c r="CI13" s="32">
        <f t="shared" si="141"/>
        <v>1.2639985711100588E-2</v>
      </c>
      <c r="CJ13" s="52">
        <f t="shared" si="193"/>
        <v>126958.15617888312</v>
      </c>
      <c r="CK13" s="129">
        <f t="shared" si="142"/>
        <v>0</v>
      </c>
      <c r="CL13" s="75" t="s">
        <v>8</v>
      </c>
      <c r="CM13" s="30" t="s">
        <v>8</v>
      </c>
      <c r="CN13" s="34">
        <f t="shared" si="194"/>
        <v>0.86018839795876112</v>
      </c>
      <c r="CO13" s="32">
        <f t="shared" si="143"/>
        <v>1.2639985711100588E-2</v>
      </c>
      <c r="CP13" s="52">
        <f t="shared" si="195"/>
        <v>126958.15617888312</v>
      </c>
      <c r="CQ13" s="129">
        <f t="shared" si="144"/>
        <v>0</v>
      </c>
      <c r="CR13" s="75" t="s">
        <v>8</v>
      </c>
      <c r="CS13" s="30" t="s">
        <v>8</v>
      </c>
      <c r="CT13" s="34">
        <f t="shared" si="196"/>
        <v>0.86018839795876112</v>
      </c>
      <c r="CU13" s="32">
        <f t="shared" si="145"/>
        <v>1.2639985711100588E-2</v>
      </c>
      <c r="CV13" s="52">
        <f t="shared" si="197"/>
        <v>126958.15617888312</v>
      </c>
      <c r="CW13" s="129">
        <f t="shared" si="146"/>
        <v>0</v>
      </c>
      <c r="CX13" s="75" t="s">
        <v>8</v>
      </c>
      <c r="CY13" s="30" t="s">
        <v>8</v>
      </c>
      <c r="CZ13" s="34">
        <f t="shared" si="198"/>
        <v>0.86018839795876112</v>
      </c>
      <c r="DA13" s="32">
        <f t="shared" si="147"/>
        <v>1.2639985711100588E-2</v>
      </c>
      <c r="DB13" s="52">
        <f t="shared" si="199"/>
        <v>126958.15617888312</v>
      </c>
      <c r="DC13" s="129">
        <f t="shared" si="148"/>
        <v>0</v>
      </c>
      <c r="DD13" s="75" t="s">
        <v>8</v>
      </c>
      <c r="DE13" s="30" t="s">
        <v>8</v>
      </c>
      <c r="DF13" s="34">
        <f t="shared" si="200"/>
        <v>0.86018839795876112</v>
      </c>
      <c r="DG13" s="32">
        <f t="shared" si="149"/>
        <v>1.2639985711100588E-2</v>
      </c>
      <c r="DH13" s="52">
        <f t="shared" si="201"/>
        <v>126958.15617888312</v>
      </c>
      <c r="DI13" s="129">
        <f t="shared" si="150"/>
        <v>0</v>
      </c>
      <c r="DJ13" s="75" t="s">
        <v>8</v>
      </c>
      <c r="DK13" s="30" t="s">
        <v>8</v>
      </c>
      <c r="DL13" s="34">
        <f t="shared" si="202"/>
        <v>0.86018839795876112</v>
      </c>
      <c r="DM13" s="32">
        <f t="shared" si="151"/>
        <v>1.2639985711100588E-2</v>
      </c>
      <c r="DN13" s="52">
        <f t="shared" si="203"/>
        <v>126958.15617888312</v>
      </c>
      <c r="DO13" s="129">
        <f t="shared" si="152"/>
        <v>0</v>
      </c>
      <c r="DP13" s="75" t="s">
        <v>8</v>
      </c>
      <c r="DQ13" s="30" t="s">
        <v>8</v>
      </c>
      <c r="DR13" s="34">
        <f t="shared" si="204"/>
        <v>0.86018839795876112</v>
      </c>
      <c r="DS13" s="32">
        <f t="shared" si="153"/>
        <v>1.2639985711100588E-2</v>
      </c>
      <c r="DT13" s="52">
        <f t="shared" si="205"/>
        <v>126958.15617888312</v>
      </c>
      <c r="DU13" s="129">
        <f t="shared" si="154"/>
        <v>0</v>
      </c>
      <c r="DV13" s="75" t="s">
        <v>8</v>
      </c>
      <c r="DW13" s="30" t="s">
        <v>8</v>
      </c>
      <c r="DX13" s="34">
        <f t="shared" si="206"/>
        <v>0.86018839795876112</v>
      </c>
      <c r="DY13" s="32">
        <f t="shared" si="155"/>
        <v>1.2639985711100588E-2</v>
      </c>
      <c r="DZ13" s="33">
        <f t="shared" si="207"/>
        <v>126958.15617888312</v>
      </c>
      <c r="EA13" s="79">
        <f t="shared" si="156"/>
        <v>0</v>
      </c>
      <c r="EB13" s="75" t="s">
        <v>8</v>
      </c>
      <c r="EC13" s="30" t="s">
        <v>8</v>
      </c>
      <c r="ED13" s="34">
        <f t="shared" si="208"/>
        <v>0.86018839795876112</v>
      </c>
      <c r="EE13" s="32">
        <f t="shared" si="157"/>
        <v>1.2639985711100588E-2</v>
      </c>
      <c r="EF13" s="33">
        <f t="shared" si="209"/>
        <v>126958.15617888312</v>
      </c>
      <c r="EG13" s="79">
        <f t="shared" si="158"/>
        <v>0</v>
      </c>
      <c r="EH13" s="75" t="s">
        <v>8</v>
      </c>
      <c r="EI13" s="30" t="s">
        <v>8</v>
      </c>
      <c r="EJ13" s="34">
        <f t="shared" si="210"/>
        <v>0.86018839795876112</v>
      </c>
      <c r="EK13" s="32">
        <f t="shared" si="159"/>
        <v>1.2639985711100588E-2</v>
      </c>
      <c r="EL13" s="33">
        <f t="shared" si="211"/>
        <v>126958.15617888312</v>
      </c>
      <c r="EM13" s="79">
        <f t="shared" si="160"/>
        <v>0</v>
      </c>
      <c r="EN13" s="75" t="s">
        <v>8</v>
      </c>
      <c r="EO13" s="30" t="s">
        <v>8</v>
      </c>
      <c r="EP13" s="34">
        <f t="shared" si="212"/>
        <v>0.86018839795876112</v>
      </c>
      <c r="EQ13" s="32">
        <f t="shared" si="161"/>
        <v>1.2639985711100588E-2</v>
      </c>
      <c r="ER13" s="33">
        <f t="shared" si="213"/>
        <v>126958.15617888312</v>
      </c>
      <c r="ES13" s="79">
        <f t="shared" si="162"/>
        <v>0</v>
      </c>
      <c r="ET13" s="75" t="s">
        <v>8</v>
      </c>
      <c r="EU13" s="30" t="s">
        <v>8</v>
      </c>
      <c r="EV13" s="34">
        <f t="shared" si="214"/>
        <v>0.86018839795876112</v>
      </c>
      <c r="EW13" s="32">
        <f t="shared" si="163"/>
        <v>1.2639985711100588E-2</v>
      </c>
      <c r="EX13" s="33">
        <f t="shared" si="215"/>
        <v>126958.15617888312</v>
      </c>
      <c r="EY13" s="79">
        <f t="shared" si="164"/>
        <v>0</v>
      </c>
      <c r="EZ13" s="75" t="s">
        <v>8</v>
      </c>
      <c r="FA13" s="30" t="s">
        <v>8</v>
      </c>
      <c r="FB13" s="34">
        <f t="shared" si="216"/>
        <v>0.86018839795876112</v>
      </c>
      <c r="FC13" s="32">
        <f t="shared" si="165"/>
        <v>1.2639985711100588E-2</v>
      </c>
      <c r="FD13" s="33">
        <f t="shared" si="217"/>
        <v>126958.15617888312</v>
      </c>
      <c r="FE13" s="79">
        <f t="shared" si="166"/>
        <v>0</v>
      </c>
      <c r="FF13" s="75" t="s">
        <v>8</v>
      </c>
      <c r="FG13" s="30" t="s">
        <v>8</v>
      </c>
      <c r="FH13" s="34">
        <f t="shared" si="218"/>
        <v>0.86018839795876112</v>
      </c>
      <c r="FI13" s="32">
        <f t="shared" si="167"/>
        <v>1.2639985711100588E-2</v>
      </c>
      <c r="FJ13" s="33">
        <f t="shared" si="219"/>
        <v>126958.15617888312</v>
      </c>
      <c r="FK13" s="79">
        <f t="shared" si="168"/>
        <v>0</v>
      </c>
      <c r="FL13" s="75" t="s">
        <v>8</v>
      </c>
      <c r="FM13" s="30" t="s">
        <v>8</v>
      </c>
      <c r="FN13" s="34">
        <f t="shared" si="220"/>
        <v>0.86018839795876112</v>
      </c>
      <c r="FO13" s="32">
        <f t="shared" si="169"/>
        <v>1.2639985711100588E-2</v>
      </c>
      <c r="FP13" s="33">
        <f t="shared" si="221"/>
        <v>126958.15617888312</v>
      </c>
      <c r="FQ13" s="79">
        <f t="shared" si="170"/>
        <v>0</v>
      </c>
      <c r="FR13" s="75" t="s">
        <v>8</v>
      </c>
      <c r="FS13" s="30" t="s">
        <v>8</v>
      </c>
      <c r="FT13" s="34">
        <f t="shared" si="222"/>
        <v>0.86018839795876112</v>
      </c>
      <c r="FU13" s="32">
        <f t="shared" si="171"/>
        <v>1.2639985711100588E-2</v>
      </c>
      <c r="FV13" s="33">
        <f t="shared" si="223"/>
        <v>126958.15617888312</v>
      </c>
      <c r="FW13" s="79">
        <f t="shared" si="172"/>
        <v>0</v>
      </c>
      <c r="FX13" s="75" t="s">
        <v>8</v>
      </c>
      <c r="FY13" s="30" t="s">
        <v>8</v>
      </c>
      <c r="FZ13" s="34">
        <f t="shared" si="224"/>
        <v>0.86018839795876112</v>
      </c>
      <c r="GA13" s="32">
        <f t="shared" si="173"/>
        <v>1.2639985711100588E-2</v>
      </c>
      <c r="GB13" s="33">
        <f t="shared" si="225"/>
        <v>126958.15617888312</v>
      </c>
      <c r="GC13" s="79">
        <f t="shared" si="174"/>
        <v>0</v>
      </c>
      <c r="GD13" s="75" t="s">
        <v>8</v>
      </c>
      <c r="GE13" s="30" t="s">
        <v>8</v>
      </c>
      <c r="GF13" s="34">
        <f t="shared" si="226"/>
        <v>0.86018839795876112</v>
      </c>
      <c r="GG13" s="32">
        <f t="shared" si="175"/>
        <v>1.2639985711100588E-2</v>
      </c>
      <c r="GH13" s="33">
        <f t="shared" si="227"/>
        <v>126958.15617888312</v>
      </c>
      <c r="GI13" s="129">
        <f t="shared" si="176"/>
        <v>0</v>
      </c>
      <c r="GJ13" s="178">
        <f t="shared" si="228"/>
        <v>2301093.2481465572</v>
      </c>
      <c r="GK13" s="94">
        <f t="shared" si="177"/>
        <v>3209549.6971973632</v>
      </c>
      <c r="GL13" s="94">
        <v>3209549.7</v>
      </c>
      <c r="GM13" s="85">
        <f t="shared" si="178"/>
        <v>0.86018839795876101</v>
      </c>
    </row>
    <row r="14" spans="1:195" s="25" customFormat="1" x14ac:dyDescent="0.25">
      <c r="A14" s="243" t="s">
        <v>183</v>
      </c>
      <c r="B14" s="165" t="s">
        <v>8</v>
      </c>
      <c r="C14" s="165" t="s">
        <v>8</v>
      </c>
      <c r="D14" s="165" t="s">
        <v>8</v>
      </c>
      <c r="E14" s="165" t="s">
        <v>8</v>
      </c>
      <c r="F14" s="165" t="s">
        <v>8</v>
      </c>
      <c r="G14" s="103">
        <f>'Исходные данные'!C16</f>
        <v>1629</v>
      </c>
      <c r="H14" s="33">
        <f>'Исходные данные'!D16</f>
        <v>922937.74</v>
      </c>
      <c r="I14" s="31">
        <f>'Расчет КРП'!G12</f>
        <v>1.7437429014361441</v>
      </c>
      <c r="J14" s="110" t="s">
        <v>8</v>
      </c>
      <c r="K14" s="114">
        <f t="shared" si="104"/>
        <v>0.24830477524467826</v>
      </c>
      <c r="L14" s="76">
        <f t="shared" si="105"/>
        <v>954758.42290565348</v>
      </c>
      <c r="M14" s="72">
        <f t="shared" si="106"/>
        <v>0.50517050446770451</v>
      </c>
      <c r="N14" s="30" t="s">
        <v>8</v>
      </c>
      <c r="O14" s="32">
        <f t="shared" si="107"/>
        <v>-6.0672760181216534E-2</v>
      </c>
      <c r="P14" s="33">
        <f t="shared" si="179"/>
        <v>0</v>
      </c>
      <c r="Q14" s="79">
        <f t="shared" si="108"/>
        <v>0</v>
      </c>
      <c r="R14" s="170" t="s">
        <v>8</v>
      </c>
      <c r="S14" s="30" t="s">
        <v>8</v>
      </c>
      <c r="T14" s="34">
        <f t="shared" si="109"/>
        <v>0.50517050446770451</v>
      </c>
      <c r="U14" s="32">
        <f t="shared" si="110"/>
        <v>5.9138277047126042E-2</v>
      </c>
      <c r="V14" s="52">
        <f t="shared" si="180"/>
        <v>359026.84066621074</v>
      </c>
      <c r="W14" s="79">
        <f t="shared" si="111"/>
        <v>359026.84066621074</v>
      </c>
      <c r="X14" s="75" t="s">
        <v>8</v>
      </c>
      <c r="Y14" s="30" t="s">
        <v>8</v>
      </c>
      <c r="Z14" s="34">
        <f t="shared" si="112"/>
        <v>0.60176215427761515</v>
      </c>
      <c r="AA14" s="32">
        <f t="shared" si="113"/>
        <v>4.3139550940141658E-2</v>
      </c>
      <c r="AB14" s="52">
        <f t="shared" si="181"/>
        <v>282715.82367512136</v>
      </c>
      <c r="AC14" s="79">
        <f t="shared" si="114"/>
        <v>282715.82367512136</v>
      </c>
      <c r="AD14" s="75" t="s">
        <v>8</v>
      </c>
      <c r="AE14" s="30" t="s">
        <v>8</v>
      </c>
      <c r="AF14" s="34">
        <f t="shared" si="115"/>
        <v>0.67782328604557718</v>
      </c>
      <c r="AG14" s="32">
        <f t="shared" si="116"/>
        <v>2.8590734653527461E-2</v>
      </c>
      <c r="AH14" s="52">
        <f t="shared" si="182"/>
        <v>197335.50284880158</v>
      </c>
      <c r="AI14" s="79">
        <f t="shared" si="117"/>
        <v>197335.50284880158</v>
      </c>
      <c r="AJ14" s="75" t="s">
        <v>8</v>
      </c>
      <c r="AK14" s="30" t="s">
        <v>8</v>
      </c>
      <c r="AL14" s="34">
        <f t="shared" si="118"/>
        <v>0.73091391779573966</v>
      </c>
      <c r="AM14" s="32">
        <f t="shared" si="119"/>
        <v>2.1246848265184637E-2</v>
      </c>
      <c r="AN14" s="52">
        <f t="shared" si="183"/>
        <v>152447.11617790273</v>
      </c>
      <c r="AO14" s="79">
        <f t="shared" si="120"/>
        <v>152447.11617790273</v>
      </c>
      <c r="AP14" s="75" t="s">
        <v>8</v>
      </c>
      <c r="AQ14" s="30" t="s">
        <v>8</v>
      </c>
      <c r="AR14" s="34">
        <f t="shared" si="121"/>
        <v>0.77192789444735366</v>
      </c>
      <c r="AS14" s="32">
        <f t="shared" si="122"/>
        <v>1.3196352006837331E-2</v>
      </c>
      <c r="AT14" s="52">
        <f t="shared" si="184"/>
        <v>97132.291817555655</v>
      </c>
      <c r="AU14" s="79">
        <f t="shared" si="123"/>
        <v>97132.291817555655</v>
      </c>
      <c r="AV14" s="75" t="s">
        <v>8</v>
      </c>
      <c r="AW14" s="30" t="s">
        <v>8</v>
      </c>
      <c r="AX14" s="34">
        <f t="shared" si="124"/>
        <v>0.79806011425316503</v>
      </c>
      <c r="AY14" s="32">
        <f t="shared" si="125"/>
        <v>1.2426954454612837E-2</v>
      </c>
      <c r="AZ14" s="52">
        <f t="shared" si="185"/>
        <v>93389.564653053661</v>
      </c>
      <c r="BA14" s="79">
        <f t="shared" si="126"/>
        <v>93389.564653053661</v>
      </c>
      <c r="BB14" s="75" t="s">
        <v>8</v>
      </c>
      <c r="BC14" s="30" t="s">
        <v>8</v>
      </c>
      <c r="BD14" s="34">
        <f t="shared" si="127"/>
        <v>0.82318540045218291</v>
      </c>
      <c r="BE14" s="32">
        <f t="shared" si="128"/>
        <v>9.2404488483699421E-3</v>
      </c>
      <c r="BF14" s="52">
        <f t="shared" si="186"/>
        <v>70596.100382133198</v>
      </c>
      <c r="BG14" s="79">
        <f t="shared" si="129"/>
        <v>70596.100382133198</v>
      </c>
      <c r="BH14" s="75" t="s">
        <v>8</v>
      </c>
      <c r="BI14" s="30" t="s">
        <v>8</v>
      </c>
      <c r="BJ14" s="34">
        <f t="shared" si="130"/>
        <v>0.84217839215554136</v>
      </c>
      <c r="BK14" s="32">
        <f t="shared" si="131"/>
        <v>1.0099364985545867E-2</v>
      </c>
      <c r="BL14" s="52">
        <f t="shared" si="187"/>
        <v>78372.954466619078</v>
      </c>
      <c r="BM14" s="79">
        <f t="shared" si="132"/>
        <v>78372.954466619078</v>
      </c>
      <c r="BN14" s="75" t="s">
        <v>8</v>
      </c>
      <c r="BO14" s="30" t="s">
        <v>8</v>
      </c>
      <c r="BP14" s="34">
        <f t="shared" si="133"/>
        <v>0.86326364850673931</v>
      </c>
      <c r="BQ14" s="32">
        <f t="shared" si="134"/>
        <v>6.6828198369817127E-3</v>
      </c>
      <c r="BR14" s="52">
        <f t="shared" si="188"/>
        <v>52536.737399055426</v>
      </c>
      <c r="BS14" s="129">
        <f t="shared" si="135"/>
        <v>9512.9087043381242</v>
      </c>
      <c r="BT14" s="75" t="s">
        <v>8</v>
      </c>
      <c r="BU14" s="30" t="s">
        <v>8</v>
      </c>
      <c r="BV14" s="34">
        <f t="shared" si="189"/>
        <v>0.86582297678575615</v>
      </c>
      <c r="BW14" s="32">
        <f t="shared" si="136"/>
        <v>7.0054068841055583E-3</v>
      </c>
      <c r="BX14" s="52">
        <f t="shared" si="190"/>
        <v>55196.219519527171</v>
      </c>
      <c r="BY14" s="129">
        <f t="shared" si="137"/>
        <v>0</v>
      </c>
      <c r="BZ14" s="75" t="s">
        <v>8</v>
      </c>
      <c r="CA14" s="30" t="s">
        <v>8</v>
      </c>
      <c r="CB14" s="34">
        <f t="shared" si="191"/>
        <v>0.86582297678575615</v>
      </c>
      <c r="CC14" s="32">
        <f t="shared" si="138"/>
        <v>7.0054068841055583E-3</v>
      </c>
      <c r="CD14" s="52">
        <f t="shared" si="192"/>
        <v>55196.219519527171</v>
      </c>
      <c r="CE14" s="129">
        <f t="shared" si="139"/>
        <v>0</v>
      </c>
      <c r="CF14" s="75" t="s">
        <v>8</v>
      </c>
      <c r="CG14" s="30" t="s">
        <v>8</v>
      </c>
      <c r="CH14" s="34">
        <f t="shared" si="140"/>
        <v>0.86582297678575615</v>
      </c>
      <c r="CI14" s="32">
        <f t="shared" si="141"/>
        <v>7.0054068841055583E-3</v>
      </c>
      <c r="CJ14" s="52">
        <f t="shared" si="193"/>
        <v>55196.219519527171</v>
      </c>
      <c r="CK14" s="129">
        <f t="shared" si="142"/>
        <v>0</v>
      </c>
      <c r="CL14" s="75" t="s">
        <v>8</v>
      </c>
      <c r="CM14" s="30" t="s">
        <v>8</v>
      </c>
      <c r="CN14" s="34">
        <f t="shared" si="194"/>
        <v>0.86582297678575615</v>
      </c>
      <c r="CO14" s="32">
        <f t="shared" si="143"/>
        <v>7.0054068841055583E-3</v>
      </c>
      <c r="CP14" s="52">
        <f t="shared" si="195"/>
        <v>55196.219519527171</v>
      </c>
      <c r="CQ14" s="129">
        <f t="shared" si="144"/>
        <v>0</v>
      </c>
      <c r="CR14" s="75" t="s">
        <v>8</v>
      </c>
      <c r="CS14" s="30" t="s">
        <v>8</v>
      </c>
      <c r="CT14" s="34">
        <f t="shared" si="196"/>
        <v>0.86582297678575615</v>
      </c>
      <c r="CU14" s="32">
        <f t="shared" si="145"/>
        <v>7.0054068841055583E-3</v>
      </c>
      <c r="CV14" s="52">
        <f t="shared" si="197"/>
        <v>55196.219519527171</v>
      </c>
      <c r="CW14" s="129">
        <f t="shared" si="146"/>
        <v>0</v>
      </c>
      <c r="CX14" s="75" t="s">
        <v>8</v>
      </c>
      <c r="CY14" s="30" t="s">
        <v>8</v>
      </c>
      <c r="CZ14" s="34">
        <f t="shared" si="198"/>
        <v>0.86582297678575615</v>
      </c>
      <c r="DA14" s="32">
        <f t="shared" si="147"/>
        <v>7.0054068841055583E-3</v>
      </c>
      <c r="DB14" s="52">
        <f t="shared" si="199"/>
        <v>55196.219519527171</v>
      </c>
      <c r="DC14" s="129">
        <f t="shared" si="148"/>
        <v>0</v>
      </c>
      <c r="DD14" s="75" t="s">
        <v>8</v>
      </c>
      <c r="DE14" s="30" t="s">
        <v>8</v>
      </c>
      <c r="DF14" s="34">
        <f t="shared" si="200"/>
        <v>0.86582297678575615</v>
      </c>
      <c r="DG14" s="32">
        <f t="shared" si="149"/>
        <v>7.0054068841055583E-3</v>
      </c>
      <c r="DH14" s="52">
        <f t="shared" si="201"/>
        <v>55196.219519527171</v>
      </c>
      <c r="DI14" s="129">
        <f t="shared" si="150"/>
        <v>0</v>
      </c>
      <c r="DJ14" s="75" t="s">
        <v>8</v>
      </c>
      <c r="DK14" s="30" t="s">
        <v>8</v>
      </c>
      <c r="DL14" s="34">
        <f t="shared" si="202"/>
        <v>0.86582297678575615</v>
      </c>
      <c r="DM14" s="32">
        <f t="shared" si="151"/>
        <v>7.0054068841055583E-3</v>
      </c>
      <c r="DN14" s="52">
        <f t="shared" si="203"/>
        <v>55196.219519527171</v>
      </c>
      <c r="DO14" s="129">
        <f t="shared" si="152"/>
        <v>0</v>
      </c>
      <c r="DP14" s="75" t="s">
        <v>8</v>
      </c>
      <c r="DQ14" s="30" t="s">
        <v>8</v>
      </c>
      <c r="DR14" s="34">
        <f t="shared" si="204"/>
        <v>0.86582297678575615</v>
      </c>
      <c r="DS14" s="32">
        <f t="shared" si="153"/>
        <v>7.0054068841055583E-3</v>
      </c>
      <c r="DT14" s="52">
        <f t="shared" si="205"/>
        <v>55196.219519527171</v>
      </c>
      <c r="DU14" s="129">
        <f t="shared" si="154"/>
        <v>0</v>
      </c>
      <c r="DV14" s="75" t="s">
        <v>8</v>
      </c>
      <c r="DW14" s="30" t="s">
        <v>8</v>
      </c>
      <c r="DX14" s="34">
        <f t="shared" si="206"/>
        <v>0.86582297678575615</v>
      </c>
      <c r="DY14" s="32">
        <f t="shared" si="155"/>
        <v>7.0054068841055583E-3</v>
      </c>
      <c r="DZ14" s="33">
        <f t="shared" si="207"/>
        <v>55196.219519527171</v>
      </c>
      <c r="EA14" s="79">
        <f t="shared" si="156"/>
        <v>0</v>
      </c>
      <c r="EB14" s="75" t="s">
        <v>8</v>
      </c>
      <c r="EC14" s="30" t="s">
        <v>8</v>
      </c>
      <c r="ED14" s="34">
        <f t="shared" si="208"/>
        <v>0.86582297678575615</v>
      </c>
      <c r="EE14" s="32">
        <f t="shared" si="157"/>
        <v>7.0054068841055583E-3</v>
      </c>
      <c r="EF14" s="33">
        <f t="shared" si="209"/>
        <v>55196.219519527171</v>
      </c>
      <c r="EG14" s="79">
        <f t="shared" si="158"/>
        <v>0</v>
      </c>
      <c r="EH14" s="75" t="s">
        <v>8</v>
      </c>
      <c r="EI14" s="30" t="s">
        <v>8</v>
      </c>
      <c r="EJ14" s="34">
        <f t="shared" si="210"/>
        <v>0.86582297678575615</v>
      </c>
      <c r="EK14" s="32">
        <f t="shared" si="159"/>
        <v>7.0054068841055583E-3</v>
      </c>
      <c r="EL14" s="33">
        <f t="shared" si="211"/>
        <v>55196.219519527171</v>
      </c>
      <c r="EM14" s="79">
        <f t="shared" si="160"/>
        <v>0</v>
      </c>
      <c r="EN14" s="75" t="s">
        <v>8</v>
      </c>
      <c r="EO14" s="30" t="s">
        <v>8</v>
      </c>
      <c r="EP14" s="34">
        <f t="shared" si="212"/>
        <v>0.86582297678575615</v>
      </c>
      <c r="EQ14" s="32">
        <f t="shared" si="161"/>
        <v>7.0054068841055583E-3</v>
      </c>
      <c r="ER14" s="33">
        <f t="shared" si="213"/>
        <v>55196.219519527171</v>
      </c>
      <c r="ES14" s="79">
        <f t="shared" si="162"/>
        <v>0</v>
      </c>
      <c r="ET14" s="75" t="s">
        <v>8</v>
      </c>
      <c r="EU14" s="30" t="s">
        <v>8</v>
      </c>
      <c r="EV14" s="34">
        <f t="shared" si="214"/>
        <v>0.86582297678575615</v>
      </c>
      <c r="EW14" s="32">
        <f t="shared" si="163"/>
        <v>7.0054068841055583E-3</v>
      </c>
      <c r="EX14" s="33">
        <f t="shared" si="215"/>
        <v>55196.219519527171</v>
      </c>
      <c r="EY14" s="79">
        <f t="shared" si="164"/>
        <v>0</v>
      </c>
      <c r="EZ14" s="75" t="s">
        <v>8</v>
      </c>
      <c r="FA14" s="30" t="s">
        <v>8</v>
      </c>
      <c r="FB14" s="34">
        <f t="shared" si="216"/>
        <v>0.86582297678575615</v>
      </c>
      <c r="FC14" s="32">
        <f t="shared" si="165"/>
        <v>7.0054068841055583E-3</v>
      </c>
      <c r="FD14" s="33">
        <f t="shared" si="217"/>
        <v>55196.219519527171</v>
      </c>
      <c r="FE14" s="79">
        <f t="shared" si="166"/>
        <v>0</v>
      </c>
      <c r="FF14" s="75" t="s">
        <v>8</v>
      </c>
      <c r="FG14" s="30" t="s">
        <v>8</v>
      </c>
      <c r="FH14" s="34">
        <f t="shared" si="218"/>
        <v>0.86582297678575615</v>
      </c>
      <c r="FI14" s="32">
        <f t="shared" si="167"/>
        <v>7.0054068841055583E-3</v>
      </c>
      <c r="FJ14" s="33">
        <f t="shared" si="219"/>
        <v>55196.219519527171</v>
      </c>
      <c r="FK14" s="79">
        <f t="shared" si="168"/>
        <v>0</v>
      </c>
      <c r="FL14" s="75" t="s">
        <v>8</v>
      </c>
      <c r="FM14" s="30" t="s">
        <v>8</v>
      </c>
      <c r="FN14" s="34">
        <f t="shared" si="220"/>
        <v>0.86582297678575615</v>
      </c>
      <c r="FO14" s="32">
        <f t="shared" si="169"/>
        <v>7.0054068841055583E-3</v>
      </c>
      <c r="FP14" s="33">
        <f t="shared" si="221"/>
        <v>55196.219519527171</v>
      </c>
      <c r="FQ14" s="79">
        <f t="shared" si="170"/>
        <v>0</v>
      </c>
      <c r="FR14" s="75" t="s">
        <v>8</v>
      </c>
      <c r="FS14" s="30" t="s">
        <v>8</v>
      </c>
      <c r="FT14" s="34">
        <f t="shared" si="222"/>
        <v>0.86582297678575615</v>
      </c>
      <c r="FU14" s="32">
        <f t="shared" si="171"/>
        <v>7.0054068841055583E-3</v>
      </c>
      <c r="FV14" s="33">
        <f t="shared" si="223"/>
        <v>55196.219519527171</v>
      </c>
      <c r="FW14" s="79">
        <f t="shared" si="172"/>
        <v>0</v>
      </c>
      <c r="FX14" s="75" t="s">
        <v>8</v>
      </c>
      <c r="FY14" s="30" t="s">
        <v>8</v>
      </c>
      <c r="FZ14" s="34">
        <f t="shared" si="224"/>
        <v>0.86582297678575615</v>
      </c>
      <c r="GA14" s="32">
        <f t="shared" si="173"/>
        <v>7.0054068841055583E-3</v>
      </c>
      <c r="GB14" s="33">
        <f t="shared" si="225"/>
        <v>55196.219519527171</v>
      </c>
      <c r="GC14" s="79">
        <f t="shared" si="174"/>
        <v>0</v>
      </c>
      <c r="GD14" s="75" t="s">
        <v>8</v>
      </c>
      <c r="GE14" s="30" t="s">
        <v>8</v>
      </c>
      <c r="GF14" s="34">
        <f t="shared" si="226"/>
        <v>0.86582297678575615</v>
      </c>
      <c r="GG14" s="32">
        <f t="shared" si="175"/>
        <v>7.0054068841055583E-3</v>
      </c>
      <c r="GH14" s="33">
        <f t="shared" si="227"/>
        <v>55196.219519527171</v>
      </c>
      <c r="GI14" s="129">
        <f t="shared" si="176"/>
        <v>0</v>
      </c>
      <c r="GJ14" s="178">
        <f t="shared" si="228"/>
        <v>1340529.103391736</v>
      </c>
      <c r="GK14" s="94">
        <f t="shared" si="177"/>
        <v>2295287.5262973895</v>
      </c>
      <c r="GL14" s="94">
        <v>2295287.5299999998</v>
      </c>
      <c r="GM14" s="85">
        <f t="shared" si="178"/>
        <v>0.86582297678575615</v>
      </c>
    </row>
    <row r="15" spans="1:195" s="25" customFormat="1" x14ac:dyDescent="0.25">
      <c r="A15" s="243" t="s">
        <v>184</v>
      </c>
      <c r="B15" s="165" t="s">
        <v>8</v>
      </c>
      <c r="C15" s="165" t="s">
        <v>8</v>
      </c>
      <c r="D15" s="165" t="s">
        <v>8</v>
      </c>
      <c r="E15" s="165" t="s">
        <v>8</v>
      </c>
      <c r="F15" s="165" t="s">
        <v>8</v>
      </c>
      <c r="G15" s="103">
        <f>'Исходные данные'!C17</f>
        <v>2644</v>
      </c>
      <c r="H15" s="33">
        <f>'Исходные данные'!D17</f>
        <v>2155366.2200000002</v>
      </c>
      <c r="I15" s="31">
        <f>'Расчет КРП'!G13</f>
        <v>1.4055555555555557</v>
      </c>
      <c r="J15" s="110" t="s">
        <v>8</v>
      </c>
      <c r="K15" s="114">
        <f t="shared" si="104"/>
        <v>0.44322863326871881</v>
      </c>
      <c r="L15" s="76">
        <f t="shared" si="105"/>
        <v>1549650.8718002136</v>
      </c>
      <c r="M15" s="72">
        <f t="shared" si="106"/>
        <v>0.76189820857257939</v>
      </c>
      <c r="N15" s="30" t="s">
        <v>8</v>
      </c>
      <c r="O15" s="32">
        <f t="shared" si="107"/>
        <v>-0.31740046428609142</v>
      </c>
      <c r="P15" s="33">
        <f t="shared" si="179"/>
        <v>0</v>
      </c>
      <c r="Q15" s="79">
        <f t="shared" si="108"/>
        <v>0</v>
      </c>
      <c r="R15" s="170" t="s">
        <v>8</v>
      </c>
      <c r="S15" s="30" t="s">
        <v>8</v>
      </c>
      <c r="T15" s="34">
        <f t="shared" si="109"/>
        <v>0.76189820857257939</v>
      </c>
      <c r="U15" s="32">
        <f t="shared" si="110"/>
        <v>-0.19758942705774885</v>
      </c>
      <c r="V15" s="52">
        <f t="shared" si="180"/>
        <v>0</v>
      </c>
      <c r="W15" s="79">
        <f t="shared" si="111"/>
        <v>0</v>
      </c>
      <c r="X15" s="75" t="s">
        <v>8</v>
      </c>
      <c r="Y15" s="30" t="s">
        <v>8</v>
      </c>
      <c r="Z15" s="34">
        <f t="shared" si="112"/>
        <v>0.76189820857257939</v>
      </c>
      <c r="AA15" s="32">
        <f t="shared" si="113"/>
        <v>-0.11699650335482259</v>
      </c>
      <c r="AB15" s="52">
        <f t="shared" si="181"/>
        <v>0</v>
      </c>
      <c r="AC15" s="79">
        <f t="shared" si="114"/>
        <v>0</v>
      </c>
      <c r="AD15" s="75" t="s">
        <v>8</v>
      </c>
      <c r="AE15" s="30" t="s">
        <v>8</v>
      </c>
      <c r="AF15" s="34">
        <f t="shared" si="115"/>
        <v>0.76189820857257939</v>
      </c>
      <c r="AG15" s="32">
        <f t="shared" si="116"/>
        <v>-5.5484187873474755E-2</v>
      </c>
      <c r="AH15" s="52">
        <f t="shared" si="182"/>
        <v>0</v>
      </c>
      <c r="AI15" s="79">
        <f t="shared" si="117"/>
        <v>0</v>
      </c>
      <c r="AJ15" s="75" t="s">
        <v>8</v>
      </c>
      <c r="AK15" s="30" t="s">
        <v>8</v>
      </c>
      <c r="AL15" s="34">
        <f t="shared" si="118"/>
        <v>0.76189820857257939</v>
      </c>
      <c r="AM15" s="32">
        <f t="shared" si="119"/>
        <v>-9.7374425116550922E-3</v>
      </c>
      <c r="AN15" s="52">
        <f t="shared" si="183"/>
        <v>0</v>
      </c>
      <c r="AO15" s="79">
        <f t="shared" si="120"/>
        <v>0</v>
      </c>
      <c r="AP15" s="75" t="s">
        <v>8</v>
      </c>
      <c r="AQ15" s="30" t="s">
        <v>8</v>
      </c>
      <c r="AR15" s="34">
        <f t="shared" si="121"/>
        <v>0.76189820857257939</v>
      </c>
      <c r="AS15" s="32">
        <f t="shared" si="122"/>
        <v>2.3226037881611594E-2</v>
      </c>
      <c r="AT15" s="52">
        <f t="shared" si="184"/>
        <v>223661.27909970487</v>
      </c>
      <c r="AU15" s="79">
        <f t="shared" si="123"/>
        <v>223661.27909970487</v>
      </c>
      <c r="AV15" s="75" t="s">
        <v>8</v>
      </c>
      <c r="AW15" s="30" t="s">
        <v>8</v>
      </c>
      <c r="AX15" s="34">
        <f t="shared" si="124"/>
        <v>0.80789182308255136</v>
      </c>
      <c r="AY15" s="32">
        <f t="shared" si="125"/>
        <v>2.5952456252265055E-3</v>
      </c>
      <c r="AZ15" s="52">
        <f t="shared" si="185"/>
        <v>25516.320106375959</v>
      </c>
      <c r="BA15" s="79">
        <f t="shared" si="126"/>
        <v>25516.320106375959</v>
      </c>
      <c r="BB15" s="75" t="s">
        <v>8</v>
      </c>
      <c r="BC15" s="30" t="s">
        <v>8</v>
      </c>
      <c r="BD15" s="34">
        <f t="shared" si="127"/>
        <v>0.81313898877618285</v>
      </c>
      <c r="BE15" s="32">
        <f t="shared" si="128"/>
        <v>1.9286860524370009E-2</v>
      </c>
      <c r="BF15" s="52">
        <f t="shared" si="186"/>
        <v>192776.95425478392</v>
      </c>
      <c r="BG15" s="79">
        <f t="shared" si="129"/>
        <v>192776.95425478392</v>
      </c>
      <c r="BH15" s="75" t="s">
        <v>8</v>
      </c>
      <c r="BI15" s="30" t="s">
        <v>8</v>
      </c>
      <c r="BJ15" s="34">
        <f t="shared" si="130"/>
        <v>0.85278156328032162</v>
      </c>
      <c r="BK15" s="32">
        <f t="shared" si="131"/>
        <v>-5.0380613923439732E-4</v>
      </c>
      <c r="BL15" s="52">
        <f t="shared" si="187"/>
        <v>0</v>
      </c>
      <c r="BM15" s="79">
        <f t="shared" si="132"/>
        <v>0</v>
      </c>
      <c r="BN15" s="75" t="s">
        <v>8</v>
      </c>
      <c r="BO15" s="30" t="s">
        <v>8</v>
      </c>
      <c r="BP15" s="34">
        <f t="shared" si="133"/>
        <v>0.85278156328032162</v>
      </c>
      <c r="BQ15" s="32">
        <f t="shared" si="134"/>
        <v>1.7164905063399405E-2</v>
      </c>
      <c r="BR15" s="52">
        <f t="shared" si="188"/>
        <v>176543.0728938641</v>
      </c>
      <c r="BS15" s="129">
        <f t="shared" si="135"/>
        <v>31966.928628743415</v>
      </c>
      <c r="BT15" s="75" t="s">
        <v>8</v>
      </c>
      <c r="BU15" s="30" t="s">
        <v>8</v>
      </c>
      <c r="BV15" s="34">
        <f t="shared" si="189"/>
        <v>0.85935522948815379</v>
      </c>
      <c r="BW15" s="32">
        <f t="shared" si="136"/>
        <v>1.3473154181707914E-2</v>
      </c>
      <c r="BX15" s="52">
        <f t="shared" si="190"/>
        <v>138883.66802178416</v>
      </c>
      <c r="BY15" s="129">
        <f t="shared" si="137"/>
        <v>0</v>
      </c>
      <c r="BZ15" s="75" t="s">
        <v>8</v>
      </c>
      <c r="CA15" s="30" t="s">
        <v>8</v>
      </c>
      <c r="CB15" s="34">
        <f t="shared" si="191"/>
        <v>0.85935522948815379</v>
      </c>
      <c r="CC15" s="32">
        <f t="shared" si="138"/>
        <v>1.3473154181707914E-2</v>
      </c>
      <c r="CD15" s="52">
        <f t="shared" si="192"/>
        <v>138883.66802178416</v>
      </c>
      <c r="CE15" s="129">
        <f t="shared" si="139"/>
        <v>0</v>
      </c>
      <c r="CF15" s="75" t="s">
        <v>8</v>
      </c>
      <c r="CG15" s="30" t="s">
        <v>8</v>
      </c>
      <c r="CH15" s="34">
        <f t="shared" si="140"/>
        <v>0.85935522948815379</v>
      </c>
      <c r="CI15" s="32">
        <f t="shared" si="141"/>
        <v>1.3473154181707914E-2</v>
      </c>
      <c r="CJ15" s="52">
        <f t="shared" si="193"/>
        <v>138883.66802178416</v>
      </c>
      <c r="CK15" s="129">
        <f t="shared" si="142"/>
        <v>0</v>
      </c>
      <c r="CL15" s="75" t="s">
        <v>8</v>
      </c>
      <c r="CM15" s="30" t="s">
        <v>8</v>
      </c>
      <c r="CN15" s="34">
        <f t="shared" si="194"/>
        <v>0.85935522948815379</v>
      </c>
      <c r="CO15" s="32">
        <f t="shared" si="143"/>
        <v>1.3473154181707914E-2</v>
      </c>
      <c r="CP15" s="52">
        <f t="shared" si="195"/>
        <v>138883.66802178416</v>
      </c>
      <c r="CQ15" s="129">
        <f t="shared" si="144"/>
        <v>0</v>
      </c>
      <c r="CR15" s="75" t="s">
        <v>8</v>
      </c>
      <c r="CS15" s="30" t="s">
        <v>8</v>
      </c>
      <c r="CT15" s="34">
        <f t="shared" si="196"/>
        <v>0.85935522948815379</v>
      </c>
      <c r="CU15" s="32">
        <f t="shared" si="145"/>
        <v>1.3473154181707914E-2</v>
      </c>
      <c r="CV15" s="52">
        <f t="shared" si="197"/>
        <v>138883.66802178416</v>
      </c>
      <c r="CW15" s="129">
        <f t="shared" si="146"/>
        <v>0</v>
      </c>
      <c r="CX15" s="75" t="s">
        <v>8</v>
      </c>
      <c r="CY15" s="30" t="s">
        <v>8</v>
      </c>
      <c r="CZ15" s="34">
        <f t="shared" si="198"/>
        <v>0.85935522948815379</v>
      </c>
      <c r="DA15" s="32">
        <f t="shared" si="147"/>
        <v>1.3473154181707914E-2</v>
      </c>
      <c r="DB15" s="52">
        <f t="shared" si="199"/>
        <v>138883.66802178416</v>
      </c>
      <c r="DC15" s="129">
        <f t="shared" si="148"/>
        <v>0</v>
      </c>
      <c r="DD15" s="75" t="s">
        <v>8</v>
      </c>
      <c r="DE15" s="30" t="s">
        <v>8</v>
      </c>
      <c r="DF15" s="34">
        <f t="shared" si="200"/>
        <v>0.85935522948815379</v>
      </c>
      <c r="DG15" s="32">
        <f t="shared" si="149"/>
        <v>1.3473154181707914E-2</v>
      </c>
      <c r="DH15" s="52">
        <f t="shared" si="201"/>
        <v>138883.66802178416</v>
      </c>
      <c r="DI15" s="129">
        <f t="shared" si="150"/>
        <v>0</v>
      </c>
      <c r="DJ15" s="75" t="s">
        <v>8</v>
      </c>
      <c r="DK15" s="30" t="s">
        <v>8</v>
      </c>
      <c r="DL15" s="34">
        <f t="shared" si="202"/>
        <v>0.85935522948815379</v>
      </c>
      <c r="DM15" s="32">
        <f t="shared" si="151"/>
        <v>1.3473154181707914E-2</v>
      </c>
      <c r="DN15" s="52">
        <f t="shared" si="203"/>
        <v>138883.66802178416</v>
      </c>
      <c r="DO15" s="129">
        <f t="shared" si="152"/>
        <v>0</v>
      </c>
      <c r="DP15" s="75" t="s">
        <v>8</v>
      </c>
      <c r="DQ15" s="30" t="s">
        <v>8</v>
      </c>
      <c r="DR15" s="34">
        <f t="shared" si="204"/>
        <v>0.85935522948815379</v>
      </c>
      <c r="DS15" s="32">
        <f t="shared" si="153"/>
        <v>1.3473154181707914E-2</v>
      </c>
      <c r="DT15" s="52">
        <f t="shared" si="205"/>
        <v>138883.66802178416</v>
      </c>
      <c r="DU15" s="129">
        <f t="shared" si="154"/>
        <v>0</v>
      </c>
      <c r="DV15" s="75" t="s">
        <v>8</v>
      </c>
      <c r="DW15" s="30" t="s">
        <v>8</v>
      </c>
      <c r="DX15" s="34">
        <f t="shared" si="206"/>
        <v>0.85935522948815379</v>
      </c>
      <c r="DY15" s="32">
        <f t="shared" si="155"/>
        <v>1.3473154181707914E-2</v>
      </c>
      <c r="DZ15" s="33">
        <f t="shared" si="207"/>
        <v>138883.66802178416</v>
      </c>
      <c r="EA15" s="79">
        <f t="shared" si="156"/>
        <v>0</v>
      </c>
      <c r="EB15" s="75" t="s">
        <v>8</v>
      </c>
      <c r="EC15" s="30" t="s">
        <v>8</v>
      </c>
      <c r="ED15" s="34">
        <f t="shared" si="208"/>
        <v>0.85935522948815379</v>
      </c>
      <c r="EE15" s="32">
        <f t="shared" si="157"/>
        <v>1.3473154181707914E-2</v>
      </c>
      <c r="EF15" s="33">
        <f t="shared" si="209"/>
        <v>138883.66802178416</v>
      </c>
      <c r="EG15" s="79">
        <f t="shared" si="158"/>
        <v>0</v>
      </c>
      <c r="EH15" s="75" t="s">
        <v>8</v>
      </c>
      <c r="EI15" s="30" t="s">
        <v>8</v>
      </c>
      <c r="EJ15" s="34">
        <f t="shared" si="210"/>
        <v>0.85935522948815379</v>
      </c>
      <c r="EK15" s="32">
        <f t="shared" si="159"/>
        <v>1.3473154181707914E-2</v>
      </c>
      <c r="EL15" s="33">
        <f t="shared" si="211"/>
        <v>138883.66802178416</v>
      </c>
      <c r="EM15" s="79">
        <f t="shared" si="160"/>
        <v>0</v>
      </c>
      <c r="EN15" s="75" t="s">
        <v>8</v>
      </c>
      <c r="EO15" s="30" t="s">
        <v>8</v>
      </c>
      <c r="EP15" s="34">
        <f t="shared" si="212"/>
        <v>0.85935522948815379</v>
      </c>
      <c r="EQ15" s="32">
        <f t="shared" si="161"/>
        <v>1.3473154181707914E-2</v>
      </c>
      <c r="ER15" s="33">
        <f t="shared" si="213"/>
        <v>138883.66802178416</v>
      </c>
      <c r="ES15" s="79">
        <f t="shared" si="162"/>
        <v>0</v>
      </c>
      <c r="ET15" s="75" t="s">
        <v>8</v>
      </c>
      <c r="EU15" s="30" t="s">
        <v>8</v>
      </c>
      <c r="EV15" s="34">
        <f t="shared" si="214"/>
        <v>0.85935522948815379</v>
      </c>
      <c r="EW15" s="32">
        <f t="shared" si="163"/>
        <v>1.3473154181707914E-2</v>
      </c>
      <c r="EX15" s="33">
        <f t="shared" si="215"/>
        <v>138883.66802178416</v>
      </c>
      <c r="EY15" s="79">
        <f t="shared" si="164"/>
        <v>0</v>
      </c>
      <c r="EZ15" s="75" t="s">
        <v>8</v>
      </c>
      <c r="FA15" s="30" t="s">
        <v>8</v>
      </c>
      <c r="FB15" s="34">
        <f t="shared" si="216"/>
        <v>0.85935522948815379</v>
      </c>
      <c r="FC15" s="32">
        <f t="shared" si="165"/>
        <v>1.3473154181707914E-2</v>
      </c>
      <c r="FD15" s="33">
        <f t="shared" si="217"/>
        <v>138883.66802178416</v>
      </c>
      <c r="FE15" s="79">
        <f t="shared" si="166"/>
        <v>0</v>
      </c>
      <c r="FF15" s="75" t="s">
        <v>8</v>
      </c>
      <c r="FG15" s="30" t="s">
        <v>8</v>
      </c>
      <c r="FH15" s="34">
        <f t="shared" si="218"/>
        <v>0.85935522948815379</v>
      </c>
      <c r="FI15" s="32">
        <f t="shared" si="167"/>
        <v>1.3473154181707914E-2</v>
      </c>
      <c r="FJ15" s="33">
        <f t="shared" si="219"/>
        <v>138883.66802178416</v>
      </c>
      <c r="FK15" s="79">
        <f t="shared" si="168"/>
        <v>0</v>
      </c>
      <c r="FL15" s="75" t="s">
        <v>8</v>
      </c>
      <c r="FM15" s="30" t="s">
        <v>8</v>
      </c>
      <c r="FN15" s="34">
        <f t="shared" si="220"/>
        <v>0.85935522948815379</v>
      </c>
      <c r="FO15" s="32">
        <f t="shared" si="169"/>
        <v>1.3473154181707914E-2</v>
      </c>
      <c r="FP15" s="33">
        <f t="shared" si="221"/>
        <v>138883.66802178416</v>
      </c>
      <c r="FQ15" s="79">
        <f t="shared" si="170"/>
        <v>0</v>
      </c>
      <c r="FR15" s="75" t="s">
        <v>8</v>
      </c>
      <c r="FS15" s="30" t="s">
        <v>8</v>
      </c>
      <c r="FT15" s="34">
        <f t="shared" si="222"/>
        <v>0.85935522948815379</v>
      </c>
      <c r="FU15" s="32">
        <f t="shared" si="171"/>
        <v>1.3473154181707914E-2</v>
      </c>
      <c r="FV15" s="33">
        <f t="shared" si="223"/>
        <v>138883.66802178416</v>
      </c>
      <c r="FW15" s="79">
        <f t="shared" si="172"/>
        <v>0</v>
      </c>
      <c r="FX15" s="75" t="s">
        <v>8</v>
      </c>
      <c r="FY15" s="30" t="s">
        <v>8</v>
      </c>
      <c r="FZ15" s="34">
        <f t="shared" si="224"/>
        <v>0.85935522948815379</v>
      </c>
      <c r="GA15" s="32">
        <f t="shared" si="173"/>
        <v>1.3473154181707914E-2</v>
      </c>
      <c r="GB15" s="33">
        <f t="shared" si="225"/>
        <v>138883.66802178416</v>
      </c>
      <c r="GC15" s="79">
        <f t="shared" si="174"/>
        <v>0</v>
      </c>
      <c r="GD15" s="75" t="s">
        <v>8</v>
      </c>
      <c r="GE15" s="30" t="s">
        <v>8</v>
      </c>
      <c r="GF15" s="34">
        <f t="shared" si="226"/>
        <v>0.85935522948815379</v>
      </c>
      <c r="GG15" s="32">
        <f t="shared" si="175"/>
        <v>1.3473154181707914E-2</v>
      </c>
      <c r="GH15" s="33">
        <f t="shared" si="227"/>
        <v>138883.66802178416</v>
      </c>
      <c r="GI15" s="129">
        <f t="shared" si="176"/>
        <v>0</v>
      </c>
      <c r="GJ15" s="178">
        <f t="shared" si="228"/>
        <v>473921.48208960815</v>
      </c>
      <c r="GK15" s="94">
        <f t="shared" si="177"/>
        <v>2023572.3538898218</v>
      </c>
      <c r="GL15" s="94">
        <v>2023572.35</v>
      </c>
      <c r="GM15" s="85">
        <f t="shared" si="178"/>
        <v>0.85935522948815379</v>
      </c>
    </row>
    <row r="16" spans="1:195" s="25" customFormat="1" x14ac:dyDescent="0.25">
      <c r="A16" s="243" t="s">
        <v>185</v>
      </c>
      <c r="B16" s="165" t="s">
        <v>8</v>
      </c>
      <c r="C16" s="165" t="s">
        <v>8</v>
      </c>
      <c r="D16" s="165" t="s">
        <v>8</v>
      </c>
      <c r="E16" s="165" t="s">
        <v>8</v>
      </c>
      <c r="F16" s="165" t="s">
        <v>8</v>
      </c>
      <c r="G16" s="103">
        <f>'Исходные данные'!C18</f>
        <v>2508</v>
      </c>
      <c r="H16" s="33">
        <f>'Исходные данные'!D18</f>
        <v>2586714.69</v>
      </c>
      <c r="I16" s="31">
        <f>'Расчет КРП'!G14</f>
        <v>1.5436136598414982</v>
      </c>
      <c r="J16" s="110" t="s">
        <v>8</v>
      </c>
      <c r="K16" s="114">
        <f t="shared" si="104"/>
        <v>0.51062090114784686</v>
      </c>
      <c r="L16" s="76">
        <f t="shared" si="105"/>
        <v>1469941.1446576912</v>
      </c>
      <c r="M16" s="72">
        <f t="shared" si="106"/>
        <v>0.80078922733437652</v>
      </c>
      <c r="N16" s="30" t="s">
        <v>8</v>
      </c>
      <c r="O16" s="32">
        <f t="shared" si="107"/>
        <v>-0.35629148304788855</v>
      </c>
      <c r="P16" s="33">
        <f t="shared" si="179"/>
        <v>0</v>
      </c>
      <c r="Q16" s="79">
        <f t="shared" si="108"/>
        <v>0</v>
      </c>
      <c r="R16" s="170" t="s">
        <v>8</v>
      </c>
      <c r="S16" s="30" t="s">
        <v>8</v>
      </c>
      <c r="T16" s="34">
        <f t="shared" si="109"/>
        <v>0.80078922733437652</v>
      </c>
      <c r="U16" s="32">
        <f t="shared" si="110"/>
        <v>-0.23648044581954597</v>
      </c>
      <c r="V16" s="52">
        <f t="shared" si="180"/>
        <v>0</v>
      </c>
      <c r="W16" s="79">
        <f t="shared" si="111"/>
        <v>0</v>
      </c>
      <c r="X16" s="75" t="s">
        <v>8</v>
      </c>
      <c r="Y16" s="30" t="s">
        <v>8</v>
      </c>
      <c r="Z16" s="34">
        <f t="shared" si="112"/>
        <v>0.80078922733437652</v>
      </c>
      <c r="AA16" s="32">
        <f t="shared" si="113"/>
        <v>-0.15588752211661971</v>
      </c>
      <c r="AB16" s="52">
        <f t="shared" si="181"/>
        <v>0</v>
      </c>
      <c r="AC16" s="79">
        <f t="shared" si="114"/>
        <v>0</v>
      </c>
      <c r="AD16" s="75" t="s">
        <v>8</v>
      </c>
      <c r="AE16" s="30" t="s">
        <v>8</v>
      </c>
      <c r="AF16" s="34">
        <f t="shared" si="115"/>
        <v>0.80078922733437652</v>
      </c>
      <c r="AG16" s="32">
        <f t="shared" si="116"/>
        <v>-9.437520663527188E-2</v>
      </c>
      <c r="AH16" s="52">
        <f t="shared" si="182"/>
        <v>0</v>
      </c>
      <c r="AI16" s="79">
        <f t="shared" si="117"/>
        <v>0</v>
      </c>
      <c r="AJ16" s="75" t="s">
        <v>8</v>
      </c>
      <c r="AK16" s="30" t="s">
        <v>8</v>
      </c>
      <c r="AL16" s="34">
        <f t="shared" si="118"/>
        <v>0.80078922733437652</v>
      </c>
      <c r="AM16" s="32">
        <f t="shared" si="119"/>
        <v>-4.8628461273452217E-2</v>
      </c>
      <c r="AN16" s="52">
        <f t="shared" si="183"/>
        <v>0</v>
      </c>
      <c r="AO16" s="79">
        <f t="shared" si="120"/>
        <v>0</v>
      </c>
      <c r="AP16" s="75" t="s">
        <v>8</v>
      </c>
      <c r="AQ16" s="30" t="s">
        <v>8</v>
      </c>
      <c r="AR16" s="34">
        <f t="shared" si="121"/>
        <v>0.80078922733437652</v>
      </c>
      <c r="AS16" s="32">
        <f t="shared" si="122"/>
        <v>-1.5664980880185531E-2</v>
      </c>
      <c r="AT16" s="52">
        <f t="shared" si="184"/>
        <v>0</v>
      </c>
      <c r="AU16" s="79">
        <f t="shared" si="123"/>
        <v>0</v>
      </c>
      <c r="AV16" s="75" t="s">
        <v>8</v>
      </c>
      <c r="AW16" s="30" t="s">
        <v>8</v>
      </c>
      <c r="AX16" s="34">
        <f t="shared" si="124"/>
        <v>0.80078922733437652</v>
      </c>
      <c r="AY16" s="32">
        <f t="shared" si="125"/>
        <v>9.6978413734013502E-3</v>
      </c>
      <c r="AZ16" s="52">
        <f t="shared" si="185"/>
        <v>99327.917154576295</v>
      </c>
      <c r="BA16" s="79">
        <f t="shared" si="126"/>
        <v>99327.917154576295</v>
      </c>
      <c r="BB16" s="75" t="s">
        <v>8</v>
      </c>
      <c r="BC16" s="30" t="s">
        <v>8</v>
      </c>
      <c r="BD16" s="34">
        <f t="shared" si="127"/>
        <v>0.8203966895576682</v>
      </c>
      <c r="BE16" s="32">
        <f t="shared" si="128"/>
        <v>1.2029159742884654E-2</v>
      </c>
      <c r="BF16" s="52">
        <f t="shared" si="186"/>
        <v>125252.25259688312</v>
      </c>
      <c r="BG16" s="79">
        <f t="shared" si="129"/>
        <v>125252.25259688312</v>
      </c>
      <c r="BH16" s="75" t="s">
        <v>8</v>
      </c>
      <c r="BI16" s="30" t="s">
        <v>8</v>
      </c>
      <c r="BJ16" s="34">
        <f t="shared" si="130"/>
        <v>0.84512164988633065</v>
      </c>
      <c r="BK16" s="32">
        <f t="shared" si="131"/>
        <v>7.1561072547565718E-3</v>
      </c>
      <c r="BL16" s="52">
        <f t="shared" si="187"/>
        <v>75685.311139624493</v>
      </c>
      <c r="BM16" s="79">
        <f t="shared" si="132"/>
        <v>75685.311139624493</v>
      </c>
      <c r="BN16" s="75" t="s">
        <v>8</v>
      </c>
      <c r="BO16" s="30" t="s">
        <v>8</v>
      </c>
      <c r="BP16" s="34">
        <f t="shared" si="133"/>
        <v>0.86006203041116158</v>
      </c>
      <c r="BQ16" s="32">
        <f t="shared" si="134"/>
        <v>9.8844379325594423E-3</v>
      </c>
      <c r="BR16" s="52">
        <f t="shared" si="188"/>
        <v>105905.3580690368</v>
      </c>
      <c r="BS16" s="129">
        <f t="shared" si="135"/>
        <v>19176.447805628286</v>
      </c>
      <c r="BT16" s="75" t="s">
        <v>8</v>
      </c>
      <c r="BU16" s="30" t="s">
        <v>8</v>
      </c>
      <c r="BV16" s="34">
        <f t="shared" si="189"/>
        <v>0.86384748657189681</v>
      </c>
      <c r="BW16" s="32">
        <f t="shared" si="136"/>
        <v>8.9808970979649017E-3</v>
      </c>
      <c r="BX16" s="52">
        <f t="shared" si="190"/>
        <v>96440.243225447892</v>
      </c>
      <c r="BY16" s="129">
        <f t="shared" si="137"/>
        <v>0</v>
      </c>
      <c r="BZ16" s="75" t="s">
        <v>8</v>
      </c>
      <c r="CA16" s="30" t="s">
        <v>8</v>
      </c>
      <c r="CB16" s="34">
        <f t="shared" si="191"/>
        <v>0.86384748657189681</v>
      </c>
      <c r="CC16" s="32">
        <f t="shared" si="138"/>
        <v>8.9808970979649017E-3</v>
      </c>
      <c r="CD16" s="52">
        <f t="shared" si="192"/>
        <v>96440.243225447892</v>
      </c>
      <c r="CE16" s="129">
        <f t="shared" si="139"/>
        <v>0</v>
      </c>
      <c r="CF16" s="75" t="s">
        <v>8</v>
      </c>
      <c r="CG16" s="30" t="s">
        <v>8</v>
      </c>
      <c r="CH16" s="34">
        <f t="shared" si="140"/>
        <v>0.86384748657189681</v>
      </c>
      <c r="CI16" s="32">
        <f t="shared" si="141"/>
        <v>8.9808970979649017E-3</v>
      </c>
      <c r="CJ16" s="52">
        <f t="shared" si="193"/>
        <v>96440.243225447892</v>
      </c>
      <c r="CK16" s="129">
        <f t="shared" si="142"/>
        <v>0</v>
      </c>
      <c r="CL16" s="75" t="s">
        <v>8</v>
      </c>
      <c r="CM16" s="30" t="s">
        <v>8</v>
      </c>
      <c r="CN16" s="34">
        <f t="shared" si="194"/>
        <v>0.86384748657189681</v>
      </c>
      <c r="CO16" s="32">
        <f t="shared" si="143"/>
        <v>8.9808970979649017E-3</v>
      </c>
      <c r="CP16" s="52">
        <f t="shared" si="195"/>
        <v>96440.243225447892</v>
      </c>
      <c r="CQ16" s="129">
        <f t="shared" si="144"/>
        <v>0</v>
      </c>
      <c r="CR16" s="75" t="s">
        <v>8</v>
      </c>
      <c r="CS16" s="30" t="s">
        <v>8</v>
      </c>
      <c r="CT16" s="34">
        <f t="shared" si="196"/>
        <v>0.86384748657189681</v>
      </c>
      <c r="CU16" s="32">
        <f t="shared" si="145"/>
        <v>8.9808970979649017E-3</v>
      </c>
      <c r="CV16" s="52">
        <f t="shared" si="197"/>
        <v>96440.243225447892</v>
      </c>
      <c r="CW16" s="129">
        <f t="shared" si="146"/>
        <v>0</v>
      </c>
      <c r="CX16" s="75" t="s">
        <v>8</v>
      </c>
      <c r="CY16" s="30" t="s">
        <v>8</v>
      </c>
      <c r="CZ16" s="34">
        <f t="shared" si="198"/>
        <v>0.86384748657189681</v>
      </c>
      <c r="DA16" s="32">
        <f t="shared" si="147"/>
        <v>8.9808970979649017E-3</v>
      </c>
      <c r="DB16" s="52">
        <f t="shared" si="199"/>
        <v>96440.243225447892</v>
      </c>
      <c r="DC16" s="129">
        <f t="shared" si="148"/>
        <v>0</v>
      </c>
      <c r="DD16" s="75" t="s">
        <v>8</v>
      </c>
      <c r="DE16" s="30" t="s">
        <v>8</v>
      </c>
      <c r="DF16" s="34">
        <f t="shared" si="200"/>
        <v>0.86384748657189681</v>
      </c>
      <c r="DG16" s="32">
        <f t="shared" si="149"/>
        <v>8.9808970979649017E-3</v>
      </c>
      <c r="DH16" s="52">
        <f t="shared" si="201"/>
        <v>96440.243225447892</v>
      </c>
      <c r="DI16" s="129">
        <f t="shared" si="150"/>
        <v>0</v>
      </c>
      <c r="DJ16" s="75" t="s">
        <v>8</v>
      </c>
      <c r="DK16" s="30" t="s">
        <v>8</v>
      </c>
      <c r="DL16" s="34">
        <f t="shared" si="202"/>
        <v>0.86384748657189681</v>
      </c>
      <c r="DM16" s="32">
        <f t="shared" si="151"/>
        <v>8.9808970979649017E-3</v>
      </c>
      <c r="DN16" s="52">
        <f t="shared" si="203"/>
        <v>96440.243225447892</v>
      </c>
      <c r="DO16" s="129">
        <f t="shared" si="152"/>
        <v>0</v>
      </c>
      <c r="DP16" s="75" t="s">
        <v>8</v>
      </c>
      <c r="DQ16" s="30" t="s">
        <v>8</v>
      </c>
      <c r="DR16" s="34">
        <f t="shared" si="204"/>
        <v>0.86384748657189681</v>
      </c>
      <c r="DS16" s="32">
        <f t="shared" si="153"/>
        <v>8.9808970979649017E-3</v>
      </c>
      <c r="DT16" s="52">
        <f t="shared" si="205"/>
        <v>96440.243225447892</v>
      </c>
      <c r="DU16" s="129">
        <f t="shared" si="154"/>
        <v>0</v>
      </c>
      <c r="DV16" s="75" t="s">
        <v>8</v>
      </c>
      <c r="DW16" s="30" t="s">
        <v>8</v>
      </c>
      <c r="DX16" s="34">
        <f t="shared" si="206"/>
        <v>0.86384748657189681</v>
      </c>
      <c r="DY16" s="32">
        <f t="shared" si="155"/>
        <v>8.9808970979649017E-3</v>
      </c>
      <c r="DZ16" s="33">
        <f t="shared" si="207"/>
        <v>96440.243225447892</v>
      </c>
      <c r="EA16" s="79">
        <f t="shared" si="156"/>
        <v>0</v>
      </c>
      <c r="EB16" s="75" t="s">
        <v>8</v>
      </c>
      <c r="EC16" s="30" t="s">
        <v>8</v>
      </c>
      <c r="ED16" s="34">
        <f t="shared" si="208"/>
        <v>0.86384748657189681</v>
      </c>
      <c r="EE16" s="32">
        <f t="shared" si="157"/>
        <v>8.9808970979649017E-3</v>
      </c>
      <c r="EF16" s="33">
        <f t="shared" si="209"/>
        <v>96440.243225447892</v>
      </c>
      <c r="EG16" s="79">
        <f t="shared" si="158"/>
        <v>0</v>
      </c>
      <c r="EH16" s="75" t="s">
        <v>8</v>
      </c>
      <c r="EI16" s="30" t="s">
        <v>8</v>
      </c>
      <c r="EJ16" s="34">
        <f t="shared" si="210"/>
        <v>0.86384748657189681</v>
      </c>
      <c r="EK16" s="32">
        <f t="shared" si="159"/>
        <v>8.9808970979649017E-3</v>
      </c>
      <c r="EL16" s="33">
        <f t="shared" si="211"/>
        <v>96440.243225447892</v>
      </c>
      <c r="EM16" s="79">
        <f t="shared" si="160"/>
        <v>0</v>
      </c>
      <c r="EN16" s="75" t="s">
        <v>8</v>
      </c>
      <c r="EO16" s="30" t="s">
        <v>8</v>
      </c>
      <c r="EP16" s="34">
        <f t="shared" si="212"/>
        <v>0.86384748657189681</v>
      </c>
      <c r="EQ16" s="32">
        <f t="shared" si="161"/>
        <v>8.9808970979649017E-3</v>
      </c>
      <c r="ER16" s="33">
        <f t="shared" si="213"/>
        <v>96440.243225447892</v>
      </c>
      <c r="ES16" s="79">
        <f t="shared" si="162"/>
        <v>0</v>
      </c>
      <c r="ET16" s="75" t="s">
        <v>8</v>
      </c>
      <c r="EU16" s="30" t="s">
        <v>8</v>
      </c>
      <c r="EV16" s="34">
        <f t="shared" si="214"/>
        <v>0.86384748657189681</v>
      </c>
      <c r="EW16" s="32">
        <f t="shared" si="163"/>
        <v>8.9808970979649017E-3</v>
      </c>
      <c r="EX16" s="33">
        <f t="shared" si="215"/>
        <v>96440.243225447892</v>
      </c>
      <c r="EY16" s="79">
        <f t="shared" si="164"/>
        <v>0</v>
      </c>
      <c r="EZ16" s="75" t="s">
        <v>8</v>
      </c>
      <c r="FA16" s="30" t="s">
        <v>8</v>
      </c>
      <c r="FB16" s="34">
        <f t="shared" si="216"/>
        <v>0.86384748657189681</v>
      </c>
      <c r="FC16" s="32">
        <f t="shared" si="165"/>
        <v>8.9808970979649017E-3</v>
      </c>
      <c r="FD16" s="33">
        <f t="shared" si="217"/>
        <v>96440.243225447892</v>
      </c>
      <c r="FE16" s="79">
        <f t="shared" si="166"/>
        <v>0</v>
      </c>
      <c r="FF16" s="75" t="s">
        <v>8</v>
      </c>
      <c r="FG16" s="30" t="s">
        <v>8</v>
      </c>
      <c r="FH16" s="34">
        <f t="shared" si="218"/>
        <v>0.86384748657189681</v>
      </c>
      <c r="FI16" s="32">
        <f t="shared" si="167"/>
        <v>8.9808970979649017E-3</v>
      </c>
      <c r="FJ16" s="33">
        <f t="shared" si="219"/>
        <v>96440.243225447892</v>
      </c>
      <c r="FK16" s="79">
        <f t="shared" si="168"/>
        <v>0</v>
      </c>
      <c r="FL16" s="75" t="s">
        <v>8</v>
      </c>
      <c r="FM16" s="30" t="s">
        <v>8</v>
      </c>
      <c r="FN16" s="34">
        <f t="shared" si="220"/>
        <v>0.86384748657189681</v>
      </c>
      <c r="FO16" s="32">
        <f t="shared" si="169"/>
        <v>8.9808970979649017E-3</v>
      </c>
      <c r="FP16" s="33">
        <f t="shared" si="221"/>
        <v>96440.243225447892</v>
      </c>
      <c r="FQ16" s="79">
        <f t="shared" si="170"/>
        <v>0</v>
      </c>
      <c r="FR16" s="75" t="s">
        <v>8</v>
      </c>
      <c r="FS16" s="30" t="s">
        <v>8</v>
      </c>
      <c r="FT16" s="34">
        <f t="shared" si="222"/>
        <v>0.86384748657189681</v>
      </c>
      <c r="FU16" s="32">
        <f t="shared" si="171"/>
        <v>8.9808970979649017E-3</v>
      </c>
      <c r="FV16" s="33">
        <f t="shared" si="223"/>
        <v>96440.243225447892</v>
      </c>
      <c r="FW16" s="79">
        <f t="shared" si="172"/>
        <v>0</v>
      </c>
      <c r="FX16" s="75" t="s">
        <v>8</v>
      </c>
      <c r="FY16" s="30" t="s">
        <v>8</v>
      </c>
      <c r="FZ16" s="34">
        <f t="shared" si="224"/>
        <v>0.86384748657189681</v>
      </c>
      <c r="GA16" s="32">
        <f t="shared" si="173"/>
        <v>8.9808970979649017E-3</v>
      </c>
      <c r="GB16" s="33">
        <f t="shared" si="225"/>
        <v>96440.243225447892</v>
      </c>
      <c r="GC16" s="79">
        <f t="shared" si="174"/>
        <v>0</v>
      </c>
      <c r="GD16" s="75" t="s">
        <v>8</v>
      </c>
      <c r="GE16" s="30" t="s">
        <v>8</v>
      </c>
      <c r="GF16" s="34">
        <f t="shared" si="226"/>
        <v>0.86384748657189681</v>
      </c>
      <c r="GG16" s="32">
        <f t="shared" si="175"/>
        <v>8.9808970979649017E-3</v>
      </c>
      <c r="GH16" s="33">
        <f t="shared" si="227"/>
        <v>96440.243225447892</v>
      </c>
      <c r="GI16" s="129">
        <f t="shared" si="176"/>
        <v>0</v>
      </c>
      <c r="GJ16" s="178">
        <f t="shared" si="228"/>
        <v>319441.92869671219</v>
      </c>
      <c r="GK16" s="94">
        <f t="shared" si="177"/>
        <v>1789383.0733544035</v>
      </c>
      <c r="GL16" s="94">
        <v>1789383.07</v>
      </c>
      <c r="GM16" s="85">
        <f t="shared" si="178"/>
        <v>0.86384748657189658</v>
      </c>
    </row>
    <row r="17" spans="1:195" s="25" customFormat="1" x14ac:dyDescent="0.25">
      <c r="A17" s="243" t="s">
        <v>186</v>
      </c>
      <c r="B17" s="165" t="s">
        <v>8</v>
      </c>
      <c r="C17" s="165" t="s">
        <v>8</v>
      </c>
      <c r="D17" s="165" t="s">
        <v>8</v>
      </c>
      <c r="E17" s="165" t="s">
        <v>8</v>
      </c>
      <c r="F17" s="165" t="s">
        <v>8</v>
      </c>
      <c r="G17" s="103">
        <f>'Исходные данные'!C19</f>
        <v>1238</v>
      </c>
      <c r="H17" s="33">
        <f>'Исходные данные'!D19</f>
        <v>949003.15</v>
      </c>
      <c r="I17" s="31">
        <f>'Расчет КРП'!G15</f>
        <v>2.7829343617956872</v>
      </c>
      <c r="J17" s="110" t="s">
        <v>8</v>
      </c>
      <c r="K17" s="114">
        <f t="shared" si="104"/>
        <v>0.21050395002728545</v>
      </c>
      <c r="L17" s="76">
        <f t="shared" si="105"/>
        <v>725592.95737090183</v>
      </c>
      <c r="M17" s="72">
        <f t="shared" si="106"/>
        <v>0.37145197600439051</v>
      </c>
      <c r="N17" s="30" t="s">
        <v>8</v>
      </c>
      <c r="O17" s="32">
        <f t="shared" si="107"/>
        <v>7.3045768282097467E-2</v>
      </c>
      <c r="P17" s="33">
        <f t="shared" si="179"/>
        <v>476807.8215007215</v>
      </c>
      <c r="Q17" s="79">
        <f t="shared" si="108"/>
        <v>476807.8215007215</v>
      </c>
      <c r="R17" s="170" t="s">
        <v>8</v>
      </c>
      <c r="S17" s="30" t="s">
        <v>8</v>
      </c>
      <c r="T17" s="34">
        <f t="shared" si="109"/>
        <v>0.47721551306936938</v>
      </c>
      <c r="U17" s="32">
        <f t="shared" si="110"/>
        <v>8.7093268445461169E-2</v>
      </c>
      <c r="V17" s="52">
        <f t="shared" si="180"/>
        <v>641302.46604618453</v>
      </c>
      <c r="W17" s="79">
        <f t="shared" si="111"/>
        <v>641302.46604618453</v>
      </c>
      <c r="X17" s="75" t="s">
        <v>8</v>
      </c>
      <c r="Y17" s="30" t="s">
        <v>8</v>
      </c>
      <c r="Z17" s="34">
        <f t="shared" si="112"/>
        <v>0.61946657120859783</v>
      </c>
      <c r="AA17" s="32">
        <f t="shared" si="113"/>
        <v>2.5435134009158977E-2</v>
      </c>
      <c r="AB17" s="52">
        <f t="shared" si="181"/>
        <v>202175.53348329544</v>
      </c>
      <c r="AC17" s="79">
        <f t="shared" si="114"/>
        <v>202175.53348329544</v>
      </c>
      <c r="AD17" s="75" t="s">
        <v>8</v>
      </c>
      <c r="AE17" s="30" t="s">
        <v>8</v>
      </c>
      <c r="AF17" s="34">
        <f t="shared" si="115"/>
        <v>0.66431231107480093</v>
      </c>
      <c r="AG17" s="32">
        <f t="shared" si="116"/>
        <v>4.2101709624303707E-2</v>
      </c>
      <c r="AH17" s="52">
        <f t="shared" si="182"/>
        <v>352451.78488912841</v>
      </c>
      <c r="AI17" s="79">
        <f t="shared" si="117"/>
        <v>352451.78488912841</v>
      </c>
      <c r="AJ17" s="75" t="s">
        <v>8</v>
      </c>
      <c r="AK17" s="30" t="s">
        <v>8</v>
      </c>
      <c r="AL17" s="34">
        <f t="shared" si="118"/>
        <v>0.74249170691066158</v>
      </c>
      <c r="AM17" s="32">
        <f t="shared" si="119"/>
        <v>9.6690591502627266E-3</v>
      </c>
      <c r="AN17" s="52">
        <f t="shared" si="183"/>
        <v>84145.12982885704</v>
      </c>
      <c r="AO17" s="79">
        <f t="shared" si="120"/>
        <v>84145.12982885704</v>
      </c>
      <c r="AP17" s="75" t="s">
        <v>8</v>
      </c>
      <c r="AQ17" s="30" t="s">
        <v>8</v>
      </c>
      <c r="AR17" s="34">
        <f t="shared" si="121"/>
        <v>0.76115643126329757</v>
      </c>
      <c r="AS17" s="32">
        <f t="shared" si="122"/>
        <v>2.3967815190893416E-2</v>
      </c>
      <c r="AT17" s="52">
        <f t="shared" si="184"/>
        <v>213972.64861461453</v>
      </c>
      <c r="AU17" s="79">
        <f t="shared" si="123"/>
        <v>213972.64861461453</v>
      </c>
      <c r="AV17" s="75" t="s">
        <v>8</v>
      </c>
      <c r="AW17" s="30" t="s">
        <v>8</v>
      </c>
      <c r="AX17" s="34">
        <f t="shared" si="124"/>
        <v>0.80861895836995323</v>
      </c>
      <c r="AY17" s="32">
        <f t="shared" si="125"/>
        <v>1.8681103378246355E-3</v>
      </c>
      <c r="AZ17" s="52">
        <f t="shared" si="185"/>
        <v>17027.709759502479</v>
      </c>
      <c r="BA17" s="79">
        <f t="shared" si="126"/>
        <v>17027.709759502479</v>
      </c>
      <c r="BB17" s="75" t="s">
        <v>8</v>
      </c>
      <c r="BC17" s="30" t="s">
        <v>8</v>
      </c>
      <c r="BD17" s="34">
        <f t="shared" si="127"/>
        <v>0.81239597445709022</v>
      </c>
      <c r="BE17" s="32">
        <f t="shared" si="128"/>
        <v>2.0029874843462636E-2</v>
      </c>
      <c r="BF17" s="52">
        <f t="shared" si="186"/>
        <v>185603.41007584892</v>
      </c>
      <c r="BG17" s="79">
        <f t="shared" si="129"/>
        <v>185603.41007584892</v>
      </c>
      <c r="BH17" s="75" t="s">
        <v>8</v>
      </c>
      <c r="BI17" s="30" t="s">
        <v>8</v>
      </c>
      <c r="BJ17" s="34">
        <f t="shared" si="130"/>
        <v>0.8535657545147225</v>
      </c>
      <c r="BK17" s="32">
        <f t="shared" si="131"/>
        <v>-1.2879973736352746E-3</v>
      </c>
      <c r="BL17" s="52">
        <f t="shared" si="187"/>
        <v>0</v>
      </c>
      <c r="BM17" s="79">
        <f t="shared" si="132"/>
        <v>0</v>
      </c>
      <c r="BN17" s="75" t="s">
        <v>8</v>
      </c>
      <c r="BO17" s="30" t="s">
        <v>8</v>
      </c>
      <c r="BP17" s="34">
        <f t="shared" si="133"/>
        <v>0.8535657545147225</v>
      </c>
      <c r="BQ17" s="32">
        <f t="shared" si="134"/>
        <v>1.6380713828998528E-2</v>
      </c>
      <c r="BR17" s="52">
        <f t="shared" si="188"/>
        <v>156191.08439772582</v>
      </c>
      <c r="BS17" s="129">
        <f t="shared" si="135"/>
        <v>28281.762436467001</v>
      </c>
      <c r="BT17" s="75" t="s">
        <v>8</v>
      </c>
      <c r="BU17" s="30" t="s">
        <v>8</v>
      </c>
      <c r="BV17" s="34">
        <f t="shared" si="189"/>
        <v>0.85983909797686975</v>
      </c>
      <c r="BW17" s="32">
        <f t="shared" si="136"/>
        <v>1.2989285692991959E-2</v>
      </c>
      <c r="BX17" s="52">
        <f t="shared" si="190"/>
        <v>124131.3013219745</v>
      </c>
      <c r="BY17" s="129">
        <f t="shared" si="137"/>
        <v>0</v>
      </c>
      <c r="BZ17" s="75" t="s">
        <v>8</v>
      </c>
      <c r="CA17" s="30" t="s">
        <v>8</v>
      </c>
      <c r="CB17" s="34">
        <f t="shared" si="191"/>
        <v>0.85983909797686975</v>
      </c>
      <c r="CC17" s="32">
        <f t="shared" si="138"/>
        <v>1.2989285692991959E-2</v>
      </c>
      <c r="CD17" s="52">
        <f t="shared" si="192"/>
        <v>124131.3013219745</v>
      </c>
      <c r="CE17" s="129">
        <f t="shared" si="139"/>
        <v>0</v>
      </c>
      <c r="CF17" s="75" t="s">
        <v>8</v>
      </c>
      <c r="CG17" s="30" t="s">
        <v>8</v>
      </c>
      <c r="CH17" s="34">
        <f t="shared" si="140"/>
        <v>0.85983909797686975</v>
      </c>
      <c r="CI17" s="32">
        <f t="shared" si="141"/>
        <v>1.2989285692991959E-2</v>
      </c>
      <c r="CJ17" s="52">
        <f t="shared" si="193"/>
        <v>124131.3013219745</v>
      </c>
      <c r="CK17" s="129">
        <f t="shared" si="142"/>
        <v>0</v>
      </c>
      <c r="CL17" s="75" t="s">
        <v>8</v>
      </c>
      <c r="CM17" s="30" t="s">
        <v>8</v>
      </c>
      <c r="CN17" s="34">
        <f t="shared" si="194"/>
        <v>0.85983909797686975</v>
      </c>
      <c r="CO17" s="32">
        <f t="shared" si="143"/>
        <v>1.2989285692991959E-2</v>
      </c>
      <c r="CP17" s="52">
        <f t="shared" si="195"/>
        <v>124131.3013219745</v>
      </c>
      <c r="CQ17" s="129">
        <f t="shared" si="144"/>
        <v>0</v>
      </c>
      <c r="CR17" s="75" t="s">
        <v>8</v>
      </c>
      <c r="CS17" s="30" t="s">
        <v>8</v>
      </c>
      <c r="CT17" s="34">
        <f t="shared" si="196"/>
        <v>0.85983909797686975</v>
      </c>
      <c r="CU17" s="32">
        <f t="shared" si="145"/>
        <v>1.2989285692991959E-2</v>
      </c>
      <c r="CV17" s="52">
        <f t="shared" si="197"/>
        <v>124131.3013219745</v>
      </c>
      <c r="CW17" s="129">
        <f t="shared" si="146"/>
        <v>0</v>
      </c>
      <c r="CX17" s="75" t="s">
        <v>8</v>
      </c>
      <c r="CY17" s="30" t="s">
        <v>8</v>
      </c>
      <c r="CZ17" s="34">
        <f t="shared" si="198"/>
        <v>0.85983909797686975</v>
      </c>
      <c r="DA17" s="32">
        <f t="shared" si="147"/>
        <v>1.2989285692991959E-2</v>
      </c>
      <c r="DB17" s="52">
        <f t="shared" si="199"/>
        <v>124131.3013219745</v>
      </c>
      <c r="DC17" s="129">
        <f t="shared" si="148"/>
        <v>0</v>
      </c>
      <c r="DD17" s="75" t="s">
        <v>8</v>
      </c>
      <c r="DE17" s="30" t="s">
        <v>8</v>
      </c>
      <c r="DF17" s="34">
        <f t="shared" si="200"/>
        <v>0.85983909797686975</v>
      </c>
      <c r="DG17" s="32">
        <f t="shared" si="149"/>
        <v>1.2989285692991959E-2</v>
      </c>
      <c r="DH17" s="52">
        <f t="shared" si="201"/>
        <v>124131.3013219745</v>
      </c>
      <c r="DI17" s="129">
        <f t="shared" si="150"/>
        <v>0</v>
      </c>
      <c r="DJ17" s="75" t="s">
        <v>8</v>
      </c>
      <c r="DK17" s="30" t="s">
        <v>8</v>
      </c>
      <c r="DL17" s="34">
        <f t="shared" si="202"/>
        <v>0.85983909797686975</v>
      </c>
      <c r="DM17" s="32">
        <f t="shared" si="151"/>
        <v>1.2989285692991959E-2</v>
      </c>
      <c r="DN17" s="52">
        <f t="shared" si="203"/>
        <v>124131.3013219745</v>
      </c>
      <c r="DO17" s="129">
        <f t="shared" si="152"/>
        <v>0</v>
      </c>
      <c r="DP17" s="75" t="s">
        <v>8</v>
      </c>
      <c r="DQ17" s="30" t="s">
        <v>8</v>
      </c>
      <c r="DR17" s="34">
        <f t="shared" si="204"/>
        <v>0.85983909797686975</v>
      </c>
      <c r="DS17" s="32">
        <f t="shared" si="153"/>
        <v>1.2989285692991959E-2</v>
      </c>
      <c r="DT17" s="52">
        <f t="shared" si="205"/>
        <v>124131.3013219745</v>
      </c>
      <c r="DU17" s="129">
        <f t="shared" si="154"/>
        <v>0</v>
      </c>
      <c r="DV17" s="75" t="s">
        <v>8</v>
      </c>
      <c r="DW17" s="30" t="s">
        <v>8</v>
      </c>
      <c r="DX17" s="34">
        <f t="shared" si="206"/>
        <v>0.85983909797686975</v>
      </c>
      <c r="DY17" s="32">
        <f t="shared" si="155"/>
        <v>1.2989285692991959E-2</v>
      </c>
      <c r="DZ17" s="33">
        <f t="shared" si="207"/>
        <v>124131.3013219745</v>
      </c>
      <c r="EA17" s="79">
        <f t="shared" si="156"/>
        <v>0</v>
      </c>
      <c r="EB17" s="75" t="s">
        <v>8</v>
      </c>
      <c r="EC17" s="30" t="s">
        <v>8</v>
      </c>
      <c r="ED17" s="34">
        <f t="shared" si="208"/>
        <v>0.85983909797686975</v>
      </c>
      <c r="EE17" s="32">
        <f t="shared" si="157"/>
        <v>1.2989285692991959E-2</v>
      </c>
      <c r="EF17" s="33">
        <f t="shared" si="209"/>
        <v>124131.3013219745</v>
      </c>
      <c r="EG17" s="79">
        <f t="shared" si="158"/>
        <v>0</v>
      </c>
      <c r="EH17" s="75" t="s">
        <v>8</v>
      </c>
      <c r="EI17" s="30" t="s">
        <v>8</v>
      </c>
      <c r="EJ17" s="34">
        <f t="shared" si="210"/>
        <v>0.85983909797686975</v>
      </c>
      <c r="EK17" s="32">
        <f t="shared" si="159"/>
        <v>1.2989285692991959E-2</v>
      </c>
      <c r="EL17" s="33">
        <f t="shared" si="211"/>
        <v>124131.3013219745</v>
      </c>
      <c r="EM17" s="79">
        <f t="shared" si="160"/>
        <v>0</v>
      </c>
      <c r="EN17" s="75" t="s">
        <v>8</v>
      </c>
      <c r="EO17" s="30" t="s">
        <v>8</v>
      </c>
      <c r="EP17" s="34">
        <f t="shared" si="212"/>
        <v>0.85983909797686975</v>
      </c>
      <c r="EQ17" s="32">
        <f t="shared" si="161"/>
        <v>1.2989285692991959E-2</v>
      </c>
      <c r="ER17" s="33">
        <f t="shared" si="213"/>
        <v>124131.3013219745</v>
      </c>
      <c r="ES17" s="79">
        <f t="shared" si="162"/>
        <v>0</v>
      </c>
      <c r="ET17" s="75" t="s">
        <v>8</v>
      </c>
      <c r="EU17" s="30" t="s">
        <v>8</v>
      </c>
      <c r="EV17" s="34">
        <f t="shared" si="214"/>
        <v>0.85983909797686975</v>
      </c>
      <c r="EW17" s="32">
        <f t="shared" si="163"/>
        <v>1.2989285692991959E-2</v>
      </c>
      <c r="EX17" s="33">
        <f t="shared" si="215"/>
        <v>124131.3013219745</v>
      </c>
      <c r="EY17" s="79">
        <f t="shared" si="164"/>
        <v>0</v>
      </c>
      <c r="EZ17" s="75" t="s">
        <v>8</v>
      </c>
      <c r="FA17" s="30" t="s">
        <v>8</v>
      </c>
      <c r="FB17" s="34">
        <f t="shared" si="216"/>
        <v>0.85983909797686975</v>
      </c>
      <c r="FC17" s="32">
        <f t="shared" si="165"/>
        <v>1.2989285692991959E-2</v>
      </c>
      <c r="FD17" s="33">
        <f t="shared" si="217"/>
        <v>124131.3013219745</v>
      </c>
      <c r="FE17" s="79">
        <f t="shared" si="166"/>
        <v>0</v>
      </c>
      <c r="FF17" s="75" t="s">
        <v>8</v>
      </c>
      <c r="FG17" s="30" t="s">
        <v>8</v>
      </c>
      <c r="FH17" s="34">
        <f t="shared" si="218"/>
        <v>0.85983909797686975</v>
      </c>
      <c r="FI17" s="32">
        <f t="shared" si="167"/>
        <v>1.2989285692991959E-2</v>
      </c>
      <c r="FJ17" s="33">
        <f t="shared" si="219"/>
        <v>124131.3013219745</v>
      </c>
      <c r="FK17" s="79">
        <f t="shared" si="168"/>
        <v>0</v>
      </c>
      <c r="FL17" s="75" t="s">
        <v>8</v>
      </c>
      <c r="FM17" s="30" t="s">
        <v>8</v>
      </c>
      <c r="FN17" s="34">
        <f t="shared" si="220"/>
        <v>0.85983909797686975</v>
      </c>
      <c r="FO17" s="32">
        <f t="shared" si="169"/>
        <v>1.2989285692991959E-2</v>
      </c>
      <c r="FP17" s="33">
        <f t="shared" si="221"/>
        <v>124131.3013219745</v>
      </c>
      <c r="FQ17" s="79">
        <f t="shared" si="170"/>
        <v>0</v>
      </c>
      <c r="FR17" s="75" t="s">
        <v>8</v>
      </c>
      <c r="FS17" s="30" t="s">
        <v>8</v>
      </c>
      <c r="FT17" s="34">
        <f t="shared" si="222"/>
        <v>0.85983909797686975</v>
      </c>
      <c r="FU17" s="32">
        <f t="shared" si="171"/>
        <v>1.2989285692991959E-2</v>
      </c>
      <c r="FV17" s="33">
        <f t="shared" si="223"/>
        <v>124131.3013219745</v>
      </c>
      <c r="FW17" s="79">
        <f t="shared" si="172"/>
        <v>0</v>
      </c>
      <c r="FX17" s="75" t="s">
        <v>8</v>
      </c>
      <c r="FY17" s="30" t="s">
        <v>8</v>
      </c>
      <c r="FZ17" s="34">
        <f t="shared" si="224"/>
        <v>0.85983909797686975</v>
      </c>
      <c r="GA17" s="32">
        <f t="shared" si="173"/>
        <v>1.2989285692991959E-2</v>
      </c>
      <c r="GB17" s="33">
        <f t="shared" si="225"/>
        <v>124131.3013219745</v>
      </c>
      <c r="GC17" s="79">
        <f t="shared" si="174"/>
        <v>0</v>
      </c>
      <c r="GD17" s="75" t="s">
        <v>8</v>
      </c>
      <c r="GE17" s="30" t="s">
        <v>8</v>
      </c>
      <c r="GF17" s="34">
        <f t="shared" si="226"/>
        <v>0.85983909797686975</v>
      </c>
      <c r="GG17" s="32">
        <f t="shared" si="175"/>
        <v>1.2989285692991959E-2</v>
      </c>
      <c r="GH17" s="33">
        <f t="shared" si="227"/>
        <v>124131.3013219745</v>
      </c>
      <c r="GI17" s="129">
        <f t="shared" si="176"/>
        <v>0</v>
      </c>
      <c r="GJ17" s="178">
        <f t="shared" si="228"/>
        <v>2201768.2666346198</v>
      </c>
      <c r="GK17" s="94">
        <f t="shared" si="177"/>
        <v>2927361.2240055217</v>
      </c>
      <c r="GL17" s="94">
        <v>2927361.22</v>
      </c>
      <c r="GM17" s="85">
        <f t="shared" si="178"/>
        <v>0.85983909797686975</v>
      </c>
    </row>
    <row r="18" spans="1:195" s="25" customFormat="1" x14ac:dyDescent="0.25">
      <c r="A18" s="243" t="s">
        <v>187</v>
      </c>
      <c r="B18" s="165" t="s">
        <v>8</v>
      </c>
      <c r="C18" s="165" t="s">
        <v>8</v>
      </c>
      <c r="D18" s="165" t="s">
        <v>8</v>
      </c>
      <c r="E18" s="165" t="s">
        <v>8</v>
      </c>
      <c r="F18" s="165" t="s">
        <v>8</v>
      </c>
      <c r="G18" s="103">
        <f>'Исходные данные'!C20</f>
        <v>1027</v>
      </c>
      <c r="H18" s="33">
        <f>'Исходные данные'!D20</f>
        <v>736366.79</v>
      </c>
      <c r="I18" s="31">
        <f>'Расчет КРП'!G16</f>
        <v>3.5141162670970183</v>
      </c>
      <c r="J18" s="110" t="s">
        <v>8</v>
      </c>
      <c r="K18" s="114">
        <f t="shared" si="104"/>
        <v>0.15592789903419146</v>
      </c>
      <c r="L18" s="76">
        <f t="shared" si="105"/>
        <v>601925.66011301789</v>
      </c>
      <c r="M18" s="72">
        <f t="shared" si="106"/>
        <v>0.28338748144717851</v>
      </c>
      <c r="N18" s="30" t="s">
        <v>8</v>
      </c>
      <c r="O18" s="32">
        <f t="shared" si="107"/>
        <v>0.16111026283930946</v>
      </c>
      <c r="P18" s="33">
        <f t="shared" si="179"/>
        <v>1101626.7622649663</v>
      </c>
      <c r="Q18" s="79">
        <f t="shared" si="108"/>
        <v>1101626.7622649663</v>
      </c>
      <c r="R18" s="170" t="s">
        <v>8</v>
      </c>
      <c r="S18" s="30" t="s">
        <v>8</v>
      </c>
      <c r="T18" s="34">
        <f t="shared" si="109"/>
        <v>0.51666028637611194</v>
      </c>
      <c r="U18" s="32">
        <f t="shared" si="110"/>
        <v>4.7648495138718605E-2</v>
      </c>
      <c r="V18" s="52">
        <f t="shared" si="180"/>
        <v>367528.03443969018</v>
      </c>
      <c r="W18" s="79">
        <f t="shared" si="111"/>
        <v>367528.03443969018</v>
      </c>
      <c r="X18" s="75" t="s">
        <v>8</v>
      </c>
      <c r="Y18" s="30" t="s">
        <v>8</v>
      </c>
      <c r="Z18" s="34">
        <f t="shared" si="112"/>
        <v>0.59448546130876578</v>
      </c>
      <c r="AA18" s="32">
        <f t="shared" si="113"/>
        <v>5.0416243908991021E-2</v>
      </c>
      <c r="AB18" s="52">
        <f t="shared" si="181"/>
        <v>419786.06377976103</v>
      </c>
      <c r="AC18" s="79">
        <f t="shared" si="114"/>
        <v>419786.06377976103</v>
      </c>
      <c r="AD18" s="75" t="s">
        <v>8</v>
      </c>
      <c r="AE18" s="30" t="s">
        <v>8</v>
      </c>
      <c r="AF18" s="34">
        <f t="shared" si="115"/>
        <v>0.68337643230028933</v>
      </c>
      <c r="AG18" s="32">
        <f t="shared" si="116"/>
        <v>2.3037588398815312E-2</v>
      </c>
      <c r="AH18" s="52">
        <f t="shared" si="182"/>
        <v>202022.60154016505</v>
      </c>
      <c r="AI18" s="79">
        <f t="shared" si="117"/>
        <v>202022.60154016505</v>
      </c>
      <c r="AJ18" s="75" t="s">
        <v>8</v>
      </c>
      <c r="AK18" s="30" t="s">
        <v>8</v>
      </c>
      <c r="AL18" s="34">
        <f t="shared" si="118"/>
        <v>0.72615533032145008</v>
      </c>
      <c r="AM18" s="32">
        <f t="shared" si="119"/>
        <v>2.6005435739474225E-2</v>
      </c>
      <c r="AN18" s="52">
        <f t="shared" si="183"/>
        <v>237067.41544217576</v>
      </c>
      <c r="AO18" s="79">
        <f t="shared" si="120"/>
        <v>237067.41544217576</v>
      </c>
      <c r="AP18" s="75" t="s">
        <v>8</v>
      </c>
      <c r="AQ18" s="30" t="s">
        <v>8</v>
      </c>
      <c r="AR18" s="34">
        <f t="shared" si="121"/>
        <v>0.77635507387501834</v>
      </c>
      <c r="AS18" s="32">
        <f t="shared" si="122"/>
        <v>8.769172579172646E-3</v>
      </c>
      <c r="AT18" s="52">
        <f t="shared" si="184"/>
        <v>82007.088698565392</v>
      </c>
      <c r="AU18" s="79">
        <f t="shared" si="123"/>
        <v>82007.088698565392</v>
      </c>
      <c r="AV18" s="75" t="s">
        <v>8</v>
      </c>
      <c r="AW18" s="30" t="s">
        <v>8</v>
      </c>
      <c r="AX18" s="34">
        <f t="shared" si="124"/>
        <v>0.79372032339513587</v>
      </c>
      <c r="AY18" s="32">
        <f t="shared" si="125"/>
        <v>1.6766745312641995E-2</v>
      </c>
      <c r="AZ18" s="52">
        <f t="shared" si="185"/>
        <v>160090.45711004516</v>
      </c>
      <c r="BA18" s="79">
        <f t="shared" si="126"/>
        <v>160090.45711004516</v>
      </c>
      <c r="BB18" s="75" t="s">
        <v>8</v>
      </c>
      <c r="BC18" s="30" t="s">
        <v>8</v>
      </c>
      <c r="BD18" s="34">
        <f t="shared" si="127"/>
        <v>0.82761996277538641</v>
      </c>
      <c r="BE18" s="32">
        <f t="shared" si="128"/>
        <v>4.8058865251664473E-3</v>
      </c>
      <c r="BF18" s="52">
        <f t="shared" si="186"/>
        <v>46649.19887573232</v>
      </c>
      <c r="BG18" s="79">
        <f t="shared" si="129"/>
        <v>46649.19887573232</v>
      </c>
      <c r="BH18" s="75" t="s">
        <v>8</v>
      </c>
      <c r="BI18" s="30" t="s">
        <v>8</v>
      </c>
      <c r="BJ18" s="34">
        <f t="shared" si="130"/>
        <v>0.83749807198821635</v>
      </c>
      <c r="BK18" s="32">
        <f t="shared" si="131"/>
        <v>1.4779685152870869E-2</v>
      </c>
      <c r="BL18" s="52">
        <f t="shared" si="187"/>
        <v>145720.40404000616</v>
      </c>
      <c r="BM18" s="79">
        <f t="shared" si="132"/>
        <v>145720.40404000616</v>
      </c>
      <c r="BN18" s="75" t="s">
        <v>8</v>
      </c>
      <c r="BO18" s="30" t="s">
        <v>8</v>
      </c>
      <c r="BP18" s="34">
        <f t="shared" si="133"/>
        <v>0.8683548090884482</v>
      </c>
      <c r="BQ18" s="32">
        <f t="shared" si="134"/>
        <v>1.5916592552728259E-3</v>
      </c>
      <c r="BR18" s="52">
        <f t="shared" si="188"/>
        <v>15897.779821850037</v>
      </c>
      <c r="BS18" s="129">
        <f t="shared" si="135"/>
        <v>2878.6357039683112</v>
      </c>
      <c r="BT18" s="75" t="s">
        <v>8</v>
      </c>
      <c r="BU18" s="30" t="s">
        <v>8</v>
      </c>
      <c r="BV18" s="34">
        <f t="shared" si="189"/>
        <v>0.8689643689212655</v>
      </c>
      <c r="BW18" s="32">
        <f t="shared" si="136"/>
        <v>3.8640147485962117E-3</v>
      </c>
      <c r="BX18" s="52">
        <f t="shared" si="190"/>
        <v>38681.007448817647</v>
      </c>
      <c r="BY18" s="129">
        <f t="shared" si="137"/>
        <v>0</v>
      </c>
      <c r="BZ18" s="75" t="s">
        <v>8</v>
      </c>
      <c r="CA18" s="30" t="s">
        <v>8</v>
      </c>
      <c r="CB18" s="34">
        <f t="shared" si="191"/>
        <v>0.8689643689212655</v>
      </c>
      <c r="CC18" s="32">
        <f t="shared" si="138"/>
        <v>3.8640147485962117E-3</v>
      </c>
      <c r="CD18" s="52">
        <f t="shared" si="192"/>
        <v>38681.007448817647</v>
      </c>
      <c r="CE18" s="129">
        <f t="shared" si="139"/>
        <v>0</v>
      </c>
      <c r="CF18" s="75" t="s">
        <v>8</v>
      </c>
      <c r="CG18" s="30" t="s">
        <v>8</v>
      </c>
      <c r="CH18" s="34">
        <f t="shared" si="140"/>
        <v>0.8689643689212655</v>
      </c>
      <c r="CI18" s="32">
        <f t="shared" si="141"/>
        <v>3.8640147485962117E-3</v>
      </c>
      <c r="CJ18" s="52">
        <f t="shared" si="193"/>
        <v>38681.007448817647</v>
      </c>
      <c r="CK18" s="129">
        <f t="shared" si="142"/>
        <v>0</v>
      </c>
      <c r="CL18" s="75" t="s">
        <v>8</v>
      </c>
      <c r="CM18" s="30" t="s">
        <v>8</v>
      </c>
      <c r="CN18" s="34">
        <f t="shared" si="194"/>
        <v>0.8689643689212655</v>
      </c>
      <c r="CO18" s="32">
        <f t="shared" si="143"/>
        <v>3.8640147485962117E-3</v>
      </c>
      <c r="CP18" s="52">
        <f t="shared" si="195"/>
        <v>38681.007448817647</v>
      </c>
      <c r="CQ18" s="129">
        <f t="shared" si="144"/>
        <v>0</v>
      </c>
      <c r="CR18" s="75" t="s">
        <v>8</v>
      </c>
      <c r="CS18" s="30" t="s">
        <v>8</v>
      </c>
      <c r="CT18" s="34">
        <f t="shared" si="196"/>
        <v>0.8689643689212655</v>
      </c>
      <c r="CU18" s="32">
        <f t="shared" si="145"/>
        <v>3.8640147485962117E-3</v>
      </c>
      <c r="CV18" s="52">
        <f t="shared" si="197"/>
        <v>38681.007448817647</v>
      </c>
      <c r="CW18" s="129">
        <f t="shared" si="146"/>
        <v>0</v>
      </c>
      <c r="CX18" s="75" t="s">
        <v>8</v>
      </c>
      <c r="CY18" s="30" t="s">
        <v>8</v>
      </c>
      <c r="CZ18" s="34">
        <f t="shared" si="198"/>
        <v>0.8689643689212655</v>
      </c>
      <c r="DA18" s="32">
        <f t="shared" si="147"/>
        <v>3.8640147485962117E-3</v>
      </c>
      <c r="DB18" s="52">
        <f t="shared" si="199"/>
        <v>38681.007448817647</v>
      </c>
      <c r="DC18" s="129">
        <f t="shared" si="148"/>
        <v>0</v>
      </c>
      <c r="DD18" s="75" t="s">
        <v>8</v>
      </c>
      <c r="DE18" s="30" t="s">
        <v>8</v>
      </c>
      <c r="DF18" s="34">
        <f t="shared" si="200"/>
        <v>0.8689643689212655</v>
      </c>
      <c r="DG18" s="32">
        <f t="shared" si="149"/>
        <v>3.8640147485962117E-3</v>
      </c>
      <c r="DH18" s="52">
        <f t="shared" si="201"/>
        <v>38681.007448817647</v>
      </c>
      <c r="DI18" s="129">
        <f t="shared" si="150"/>
        <v>0</v>
      </c>
      <c r="DJ18" s="75" t="s">
        <v>8</v>
      </c>
      <c r="DK18" s="30" t="s">
        <v>8</v>
      </c>
      <c r="DL18" s="34">
        <f t="shared" si="202"/>
        <v>0.8689643689212655</v>
      </c>
      <c r="DM18" s="32">
        <f t="shared" si="151"/>
        <v>3.8640147485962117E-3</v>
      </c>
      <c r="DN18" s="52">
        <f t="shared" si="203"/>
        <v>38681.007448817647</v>
      </c>
      <c r="DO18" s="129">
        <f t="shared" si="152"/>
        <v>0</v>
      </c>
      <c r="DP18" s="75" t="s">
        <v>8</v>
      </c>
      <c r="DQ18" s="30" t="s">
        <v>8</v>
      </c>
      <c r="DR18" s="34">
        <f t="shared" si="204"/>
        <v>0.8689643689212655</v>
      </c>
      <c r="DS18" s="32">
        <f t="shared" si="153"/>
        <v>3.8640147485962117E-3</v>
      </c>
      <c r="DT18" s="52">
        <f t="shared" si="205"/>
        <v>38681.007448817647</v>
      </c>
      <c r="DU18" s="129">
        <f t="shared" si="154"/>
        <v>0</v>
      </c>
      <c r="DV18" s="75" t="s">
        <v>8</v>
      </c>
      <c r="DW18" s="30" t="s">
        <v>8</v>
      </c>
      <c r="DX18" s="34">
        <f t="shared" si="206"/>
        <v>0.8689643689212655</v>
      </c>
      <c r="DY18" s="32">
        <f t="shared" si="155"/>
        <v>3.8640147485962117E-3</v>
      </c>
      <c r="DZ18" s="33">
        <f t="shared" si="207"/>
        <v>38681.007448817647</v>
      </c>
      <c r="EA18" s="79">
        <f t="shared" si="156"/>
        <v>0</v>
      </c>
      <c r="EB18" s="75" t="s">
        <v>8</v>
      </c>
      <c r="EC18" s="30" t="s">
        <v>8</v>
      </c>
      <c r="ED18" s="34">
        <f t="shared" si="208"/>
        <v>0.8689643689212655</v>
      </c>
      <c r="EE18" s="32">
        <f t="shared" si="157"/>
        <v>3.8640147485962117E-3</v>
      </c>
      <c r="EF18" s="33">
        <f t="shared" si="209"/>
        <v>38681.007448817647</v>
      </c>
      <c r="EG18" s="79">
        <f t="shared" si="158"/>
        <v>0</v>
      </c>
      <c r="EH18" s="75" t="s">
        <v>8</v>
      </c>
      <c r="EI18" s="30" t="s">
        <v>8</v>
      </c>
      <c r="EJ18" s="34">
        <f t="shared" si="210"/>
        <v>0.8689643689212655</v>
      </c>
      <c r="EK18" s="32">
        <f t="shared" si="159"/>
        <v>3.8640147485962117E-3</v>
      </c>
      <c r="EL18" s="33">
        <f t="shared" si="211"/>
        <v>38681.007448817647</v>
      </c>
      <c r="EM18" s="79">
        <f t="shared" si="160"/>
        <v>0</v>
      </c>
      <c r="EN18" s="75" t="s">
        <v>8</v>
      </c>
      <c r="EO18" s="30" t="s">
        <v>8</v>
      </c>
      <c r="EP18" s="34">
        <f t="shared" si="212"/>
        <v>0.8689643689212655</v>
      </c>
      <c r="EQ18" s="32">
        <f t="shared" si="161"/>
        <v>3.8640147485962117E-3</v>
      </c>
      <c r="ER18" s="33">
        <f t="shared" si="213"/>
        <v>38681.007448817647</v>
      </c>
      <c r="ES18" s="79">
        <f t="shared" si="162"/>
        <v>0</v>
      </c>
      <c r="ET18" s="75" t="s">
        <v>8</v>
      </c>
      <c r="EU18" s="30" t="s">
        <v>8</v>
      </c>
      <c r="EV18" s="34">
        <f t="shared" si="214"/>
        <v>0.8689643689212655</v>
      </c>
      <c r="EW18" s="32">
        <f t="shared" si="163"/>
        <v>3.8640147485962117E-3</v>
      </c>
      <c r="EX18" s="33">
        <f t="shared" si="215"/>
        <v>38681.007448817647</v>
      </c>
      <c r="EY18" s="79">
        <f t="shared" si="164"/>
        <v>0</v>
      </c>
      <c r="EZ18" s="75" t="s">
        <v>8</v>
      </c>
      <c r="FA18" s="30" t="s">
        <v>8</v>
      </c>
      <c r="FB18" s="34">
        <f t="shared" si="216"/>
        <v>0.8689643689212655</v>
      </c>
      <c r="FC18" s="32">
        <f t="shared" si="165"/>
        <v>3.8640147485962117E-3</v>
      </c>
      <c r="FD18" s="33">
        <f t="shared" si="217"/>
        <v>38681.007448817647</v>
      </c>
      <c r="FE18" s="79">
        <f t="shared" si="166"/>
        <v>0</v>
      </c>
      <c r="FF18" s="75" t="s">
        <v>8</v>
      </c>
      <c r="FG18" s="30" t="s">
        <v>8</v>
      </c>
      <c r="FH18" s="34">
        <f t="shared" si="218"/>
        <v>0.8689643689212655</v>
      </c>
      <c r="FI18" s="32">
        <f t="shared" si="167"/>
        <v>3.8640147485962117E-3</v>
      </c>
      <c r="FJ18" s="33">
        <f t="shared" si="219"/>
        <v>38681.007448817647</v>
      </c>
      <c r="FK18" s="79">
        <f t="shared" si="168"/>
        <v>0</v>
      </c>
      <c r="FL18" s="75" t="s">
        <v>8</v>
      </c>
      <c r="FM18" s="30" t="s">
        <v>8</v>
      </c>
      <c r="FN18" s="34">
        <f t="shared" si="220"/>
        <v>0.8689643689212655</v>
      </c>
      <c r="FO18" s="32">
        <f t="shared" si="169"/>
        <v>3.8640147485962117E-3</v>
      </c>
      <c r="FP18" s="33">
        <f t="shared" si="221"/>
        <v>38681.007448817647</v>
      </c>
      <c r="FQ18" s="79">
        <f t="shared" si="170"/>
        <v>0</v>
      </c>
      <c r="FR18" s="75" t="s">
        <v>8</v>
      </c>
      <c r="FS18" s="30" t="s">
        <v>8</v>
      </c>
      <c r="FT18" s="34">
        <f t="shared" si="222"/>
        <v>0.8689643689212655</v>
      </c>
      <c r="FU18" s="32">
        <f t="shared" si="171"/>
        <v>3.8640147485962117E-3</v>
      </c>
      <c r="FV18" s="33">
        <f t="shared" si="223"/>
        <v>38681.007448817647</v>
      </c>
      <c r="FW18" s="79">
        <f t="shared" si="172"/>
        <v>0</v>
      </c>
      <c r="FX18" s="75" t="s">
        <v>8</v>
      </c>
      <c r="FY18" s="30" t="s">
        <v>8</v>
      </c>
      <c r="FZ18" s="34">
        <f t="shared" si="224"/>
        <v>0.8689643689212655</v>
      </c>
      <c r="GA18" s="32">
        <f t="shared" si="173"/>
        <v>3.8640147485962117E-3</v>
      </c>
      <c r="GB18" s="33">
        <f t="shared" si="225"/>
        <v>38681.007448817647</v>
      </c>
      <c r="GC18" s="79">
        <f t="shared" si="174"/>
        <v>0</v>
      </c>
      <c r="GD18" s="75" t="s">
        <v>8</v>
      </c>
      <c r="GE18" s="30" t="s">
        <v>8</v>
      </c>
      <c r="GF18" s="34">
        <f t="shared" si="226"/>
        <v>0.8689643689212655</v>
      </c>
      <c r="GG18" s="32">
        <f t="shared" si="175"/>
        <v>3.8640147485962117E-3</v>
      </c>
      <c r="GH18" s="33">
        <f t="shared" si="227"/>
        <v>38681.007448817647</v>
      </c>
      <c r="GI18" s="129">
        <f t="shared" si="176"/>
        <v>0</v>
      </c>
      <c r="GJ18" s="178">
        <f t="shared" si="228"/>
        <v>2765376.6618950753</v>
      </c>
      <c r="GK18" s="94">
        <f t="shared" si="177"/>
        <v>3367302.3220080934</v>
      </c>
      <c r="GL18" s="94">
        <v>3367302.32</v>
      </c>
      <c r="GM18" s="85">
        <f t="shared" si="178"/>
        <v>0.8689643689212655</v>
      </c>
    </row>
    <row r="19" spans="1:195" s="25" customFormat="1" x14ac:dyDescent="0.25">
      <c r="A19" s="243" t="s">
        <v>188</v>
      </c>
      <c r="B19" s="165" t="s">
        <v>8</v>
      </c>
      <c r="C19" s="165" t="s">
        <v>8</v>
      </c>
      <c r="D19" s="165" t="s">
        <v>8</v>
      </c>
      <c r="E19" s="165" t="s">
        <v>8</v>
      </c>
      <c r="F19" s="165" t="s">
        <v>8</v>
      </c>
      <c r="G19" s="103">
        <f>'Исходные данные'!C21</f>
        <v>574</v>
      </c>
      <c r="H19" s="33">
        <f>'Исходные данные'!D21</f>
        <v>601490.02</v>
      </c>
      <c r="I19" s="31">
        <f>'Расчет КРП'!G17</f>
        <v>4.6427270271380241</v>
      </c>
      <c r="J19" s="110" t="s">
        <v>8</v>
      </c>
      <c r="K19" s="114">
        <f t="shared" si="104"/>
        <v>0.17248827829873242</v>
      </c>
      <c r="L19" s="76">
        <f t="shared" si="105"/>
        <v>336421.93661623396</v>
      </c>
      <c r="M19" s="72">
        <f t="shared" si="106"/>
        <v>0.26896342950549645</v>
      </c>
      <c r="N19" s="30" t="s">
        <v>8</v>
      </c>
      <c r="O19" s="32">
        <f t="shared" si="107"/>
        <v>0.17553431478099152</v>
      </c>
      <c r="P19" s="33">
        <f t="shared" si="179"/>
        <v>886281.67980592849</v>
      </c>
      <c r="Q19" s="79">
        <f t="shared" si="108"/>
        <v>886281.67980592849</v>
      </c>
      <c r="R19" s="170" t="s">
        <v>8</v>
      </c>
      <c r="S19" s="30" t="s">
        <v>8</v>
      </c>
      <c r="T19" s="34">
        <f t="shared" si="109"/>
        <v>0.52312093163235307</v>
      </c>
      <c r="U19" s="32">
        <f t="shared" si="110"/>
        <v>4.1187849882477479E-2</v>
      </c>
      <c r="V19" s="52">
        <f t="shared" si="180"/>
        <v>234589.66564763882</v>
      </c>
      <c r="W19" s="79">
        <f t="shared" si="111"/>
        <v>234589.66564763882</v>
      </c>
      <c r="X19" s="75" t="s">
        <v>8</v>
      </c>
      <c r="Y19" s="30" t="s">
        <v>8</v>
      </c>
      <c r="Z19" s="34">
        <f t="shared" si="112"/>
        <v>0.59039381428838866</v>
      </c>
      <c r="AA19" s="32">
        <f t="shared" si="113"/>
        <v>5.4507890929368141E-2</v>
      </c>
      <c r="AB19" s="52">
        <f t="shared" si="181"/>
        <v>335131.6001038524</v>
      </c>
      <c r="AC19" s="79">
        <f t="shared" si="114"/>
        <v>335131.6001038524</v>
      </c>
      <c r="AD19" s="75" t="s">
        <v>8</v>
      </c>
      <c r="AE19" s="30" t="s">
        <v>8</v>
      </c>
      <c r="AF19" s="34">
        <f t="shared" si="115"/>
        <v>0.68649893787034399</v>
      </c>
      <c r="AG19" s="32">
        <f t="shared" si="116"/>
        <v>1.9915082828760644E-2</v>
      </c>
      <c r="AH19" s="52">
        <f t="shared" si="182"/>
        <v>128956.58803311235</v>
      </c>
      <c r="AI19" s="79">
        <f t="shared" si="117"/>
        <v>128956.58803311235</v>
      </c>
      <c r="AJ19" s="75" t="s">
        <v>8</v>
      </c>
      <c r="AK19" s="30" t="s">
        <v>8</v>
      </c>
      <c r="AL19" s="34">
        <f t="shared" si="118"/>
        <v>0.7234796010659037</v>
      </c>
      <c r="AM19" s="32">
        <f t="shared" si="119"/>
        <v>2.8681164995020603E-2</v>
      </c>
      <c r="AN19" s="52">
        <f t="shared" si="183"/>
        <v>193064.75130815647</v>
      </c>
      <c r="AO19" s="79">
        <f t="shared" si="120"/>
        <v>193064.75130815647</v>
      </c>
      <c r="AP19" s="75" t="s">
        <v>8</v>
      </c>
      <c r="AQ19" s="30" t="s">
        <v>8</v>
      </c>
      <c r="AR19" s="34">
        <f t="shared" si="121"/>
        <v>0.77884445409092462</v>
      </c>
      <c r="AS19" s="32">
        <f t="shared" si="122"/>
        <v>6.2797923632663677E-3</v>
      </c>
      <c r="AT19" s="52">
        <f t="shared" si="184"/>
        <v>43364.718727086642</v>
      </c>
      <c r="AU19" s="79">
        <f t="shared" si="123"/>
        <v>43364.718727086642</v>
      </c>
      <c r="AV19" s="75" t="s">
        <v>8</v>
      </c>
      <c r="AW19" s="30" t="s">
        <v>8</v>
      </c>
      <c r="AX19" s="34">
        <f t="shared" si="124"/>
        <v>0.79128008132235239</v>
      </c>
      <c r="AY19" s="32">
        <f t="shared" si="125"/>
        <v>1.9206987385425478E-2</v>
      </c>
      <c r="AZ19" s="52">
        <f t="shared" si="185"/>
        <v>135417.37799426389</v>
      </c>
      <c r="BA19" s="79">
        <f t="shared" si="126"/>
        <v>135417.37799426389</v>
      </c>
      <c r="BB19" s="75" t="s">
        <v>8</v>
      </c>
      <c r="BC19" s="30" t="s">
        <v>8</v>
      </c>
      <c r="BD19" s="34">
        <f t="shared" si="127"/>
        <v>0.83011349435547177</v>
      </c>
      <c r="BE19" s="32">
        <f t="shared" si="128"/>
        <v>2.3123549450810854E-3</v>
      </c>
      <c r="BF19" s="52">
        <f t="shared" si="186"/>
        <v>16573.859336686302</v>
      </c>
      <c r="BG19" s="79">
        <f t="shared" si="129"/>
        <v>16573.859336686302</v>
      </c>
      <c r="BH19" s="75" t="s">
        <v>8</v>
      </c>
      <c r="BI19" s="30" t="s">
        <v>8</v>
      </c>
      <c r="BJ19" s="34">
        <f t="shared" si="130"/>
        <v>0.83486635203671877</v>
      </c>
      <c r="BK19" s="32">
        <f t="shared" si="131"/>
        <v>1.7411405104368449E-2</v>
      </c>
      <c r="BL19" s="52">
        <f t="shared" si="187"/>
        <v>126761.5312137179</v>
      </c>
      <c r="BM19" s="79">
        <f t="shared" si="132"/>
        <v>126761.5312137179</v>
      </c>
      <c r="BN19" s="75" t="s">
        <v>8</v>
      </c>
      <c r="BO19" s="30" t="s">
        <v>8</v>
      </c>
      <c r="BP19" s="34">
        <f t="shared" si="133"/>
        <v>0.87121754249132555</v>
      </c>
      <c r="BQ19" s="32">
        <f t="shared" si="134"/>
        <v>-1.2710741476045229E-3</v>
      </c>
      <c r="BR19" s="52">
        <f t="shared" si="188"/>
        <v>0</v>
      </c>
      <c r="BS19" s="129">
        <f t="shared" si="135"/>
        <v>0</v>
      </c>
      <c r="BT19" s="75" t="s">
        <v>8</v>
      </c>
      <c r="BU19" s="30" t="s">
        <v>8</v>
      </c>
      <c r="BV19" s="34">
        <f t="shared" si="189"/>
        <v>0.87121754249132555</v>
      </c>
      <c r="BW19" s="32">
        <f t="shared" si="136"/>
        <v>1.6108411785361598E-3</v>
      </c>
      <c r="BX19" s="52">
        <f t="shared" si="190"/>
        <v>11907.215033419086</v>
      </c>
      <c r="BY19" s="129">
        <f t="shared" si="137"/>
        <v>0</v>
      </c>
      <c r="BZ19" s="75" t="s">
        <v>8</v>
      </c>
      <c r="CA19" s="30" t="s">
        <v>8</v>
      </c>
      <c r="CB19" s="34">
        <f t="shared" si="191"/>
        <v>0.87121754249132555</v>
      </c>
      <c r="CC19" s="32">
        <f t="shared" si="138"/>
        <v>1.6108411785361598E-3</v>
      </c>
      <c r="CD19" s="52">
        <f t="shared" si="192"/>
        <v>11907.215033419086</v>
      </c>
      <c r="CE19" s="129">
        <f t="shared" si="139"/>
        <v>0</v>
      </c>
      <c r="CF19" s="75" t="s">
        <v>8</v>
      </c>
      <c r="CG19" s="30" t="s">
        <v>8</v>
      </c>
      <c r="CH19" s="34">
        <f t="shared" si="140"/>
        <v>0.87121754249132555</v>
      </c>
      <c r="CI19" s="32">
        <f t="shared" si="141"/>
        <v>1.6108411785361598E-3</v>
      </c>
      <c r="CJ19" s="52">
        <f t="shared" si="193"/>
        <v>11907.215033419086</v>
      </c>
      <c r="CK19" s="129">
        <f t="shared" si="142"/>
        <v>0</v>
      </c>
      <c r="CL19" s="75" t="s">
        <v>8</v>
      </c>
      <c r="CM19" s="30" t="s">
        <v>8</v>
      </c>
      <c r="CN19" s="34">
        <f t="shared" si="194"/>
        <v>0.87121754249132555</v>
      </c>
      <c r="CO19" s="32">
        <f t="shared" si="143"/>
        <v>1.6108411785361598E-3</v>
      </c>
      <c r="CP19" s="52">
        <f t="shared" si="195"/>
        <v>11907.215033419086</v>
      </c>
      <c r="CQ19" s="129">
        <f t="shared" si="144"/>
        <v>0</v>
      </c>
      <c r="CR19" s="75" t="s">
        <v>8</v>
      </c>
      <c r="CS19" s="30" t="s">
        <v>8</v>
      </c>
      <c r="CT19" s="34">
        <f t="shared" si="196"/>
        <v>0.87121754249132555</v>
      </c>
      <c r="CU19" s="32">
        <f t="shared" si="145"/>
        <v>1.6108411785361598E-3</v>
      </c>
      <c r="CV19" s="52">
        <f t="shared" si="197"/>
        <v>11907.215033419086</v>
      </c>
      <c r="CW19" s="129">
        <f t="shared" si="146"/>
        <v>0</v>
      </c>
      <c r="CX19" s="75" t="s">
        <v>8</v>
      </c>
      <c r="CY19" s="30" t="s">
        <v>8</v>
      </c>
      <c r="CZ19" s="34">
        <f t="shared" si="198"/>
        <v>0.87121754249132555</v>
      </c>
      <c r="DA19" s="32">
        <f t="shared" si="147"/>
        <v>1.6108411785361598E-3</v>
      </c>
      <c r="DB19" s="52">
        <f t="shared" si="199"/>
        <v>11907.215033419086</v>
      </c>
      <c r="DC19" s="129">
        <f t="shared" si="148"/>
        <v>0</v>
      </c>
      <c r="DD19" s="75" t="s">
        <v>8</v>
      </c>
      <c r="DE19" s="30" t="s">
        <v>8</v>
      </c>
      <c r="DF19" s="34">
        <f t="shared" si="200"/>
        <v>0.87121754249132555</v>
      </c>
      <c r="DG19" s="32">
        <f t="shared" si="149"/>
        <v>1.6108411785361598E-3</v>
      </c>
      <c r="DH19" s="52">
        <f t="shared" si="201"/>
        <v>11907.215033419086</v>
      </c>
      <c r="DI19" s="129">
        <f t="shared" si="150"/>
        <v>0</v>
      </c>
      <c r="DJ19" s="75" t="s">
        <v>8</v>
      </c>
      <c r="DK19" s="30" t="s">
        <v>8</v>
      </c>
      <c r="DL19" s="34">
        <f t="shared" si="202"/>
        <v>0.87121754249132555</v>
      </c>
      <c r="DM19" s="32">
        <f t="shared" si="151"/>
        <v>1.6108411785361598E-3</v>
      </c>
      <c r="DN19" s="52">
        <f t="shared" si="203"/>
        <v>11907.215033419086</v>
      </c>
      <c r="DO19" s="129">
        <f t="shared" si="152"/>
        <v>0</v>
      </c>
      <c r="DP19" s="75" t="s">
        <v>8</v>
      </c>
      <c r="DQ19" s="30" t="s">
        <v>8</v>
      </c>
      <c r="DR19" s="34">
        <f t="shared" si="204"/>
        <v>0.87121754249132555</v>
      </c>
      <c r="DS19" s="32">
        <f t="shared" si="153"/>
        <v>1.6108411785361598E-3</v>
      </c>
      <c r="DT19" s="52">
        <f t="shared" si="205"/>
        <v>11907.215033419086</v>
      </c>
      <c r="DU19" s="129">
        <f t="shared" si="154"/>
        <v>0</v>
      </c>
      <c r="DV19" s="75" t="s">
        <v>8</v>
      </c>
      <c r="DW19" s="30" t="s">
        <v>8</v>
      </c>
      <c r="DX19" s="34">
        <f t="shared" si="206"/>
        <v>0.87121754249132555</v>
      </c>
      <c r="DY19" s="32">
        <f t="shared" si="155"/>
        <v>1.6108411785361598E-3</v>
      </c>
      <c r="DZ19" s="33">
        <f t="shared" si="207"/>
        <v>11907.215033419086</v>
      </c>
      <c r="EA19" s="79">
        <f t="shared" si="156"/>
        <v>0</v>
      </c>
      <c r="EB19" s="75" t="s">
        <v>8</v>
      </c>
      <c r="EC19" s="30" t="s">
        <v>8</v>
      </c>
      <c r="ED19" s="34">
        <f t="shared" si="208"/>
        <v>0.87121754249132555</v>
      </c>
      <c r="EE19" s="32">
        <f t="shared" si="157"/>
        <v>1.6108411785361598E-3</v>
      </c>
      <c r="EF19" s="33">
        <f t="shared" si="209"/>
        <v>11907.215033419086</v>
      </c>
      <c r="EG19" s="79">
        <f t="shared" si="158"/>
        <v>0</v>
      </c>
      <c r="EH19" s="75" t="s">
        <v>8</v>
      </c>
      <c r="EI19" s="30" t="s">
        <v>8</v>
      </c>
      <c r="EJ19" s="34">
        <f t="shared" si="210"/>
        <v>0.87121754249132555</v>
      </c>
      <c r="EK19" s="32">
        <f t="shared" si="159"/>
        <v>1.6108411785361598E-3</v>
      </c>
      <c r="EL19" s="33">
        <f t="shared" si="211"/>
        <v>11907.215033419086</v>
      </c>
      <c r="EM19" s="79">
        <f t="shared" si="160"/>
        <v>0</v>
      </c>
      <c r="EN19" s="75" t="s">
        <v>8</v>
      </c>
      <c r="EO19" s="30" t="s">
        <v>8</v>
      </c>
      <c r="EP19" s="34">
        <f t="shared" si="212"/>
        <v>0.87121754249132555</v>
      </c>
      <c r="EQ19" s="32">
        <f t="shared" si="161"/>
        <v>1.6108411785361598E-3</v>
      </c>
      <c r="ER19" s="33">
        <f t="shared" si="213"/>
        <v>11907.215033419086</v>
      </c>
      <c r="ES19" s="79">
        <f t="shared" si="162"/>
        <v>0</v>
      </c>
      <c r="ET19" s="75" t="s">
        <v>8</v>
      </c>
      <c r="EU19" s="30" t="s">
        <v>8</v>
      </c>
      <c r="EV19" s="34">
        <f t="shared" si="214"/>
        <v>0.87121754249132555</v>
      </c>
      <c r="EW19" s="32">
        <f t="shared" si="163"/>
        <v>1.6108411785361598E-3</v>
      </c>
      <c r="EX19" s="33">
        <f t="shared" si="215"/>
        <v>11907.215033419086</v>
      </c>
      <c r="EY19" s="79">
        <f t="shared" si="164"/>
        <v>0</v>
      </c>
      <c r="EZ19" s="75" t="s">
        <v>8</v>
      </c>
      <c r="FA19" s="30" t="s">
        <v>8</v>
      </c>
      <c r="FB19" s="34">
        <f t="shared" si="216"/>
        <v>0.87121754249132555</v>
      </c>
      <c r="FC19" s="32">
        <f t="shared" si="165"/>
        <v>1.6108411785361598E-3</v>
      </c>
      <c r="FD19" s="33">
        <f t="shared" si="217"/>
        <v>11907.215033419086</v>
      </c>
      <c r="FE19" s="79">
        <f t="shared" si="166"/>
        <v>0</v>
      </c>
      <c r="FF19" s="75" t="s">
        <v>8</v>
      </c>
      <c r="FG19" s="30" t="s">
        <v>8</v>
      </c>
      <c r="FH19" s="34">
        <f t="shared" si="218"/>
        <v>0.87121754249132555</v>
      </c>
      <c r="FI19" s="32">
        <f t="shared" si="167"/>
        <v>1.6108411785361598E-3</v>
      </c>
      <c r="FJ19" s="33">
        <f t="shared" si="219"/>
        <v>11907.215033419086</v>
      </c>
      <c r="FK19" s="79">
        <f t="shared" si="168"/>
        <v>0</v>
      </c>
      <c r="FL19" s="75" t="s">
        <v>8</v>
      </c>
      <c r="FM19" s="30" t="s">
        <v>8</v>
      </c>
      <c r="FN19" s="34">
        <f t="shared" si="220"/>
        <v>0.87121754249132555</v>
      </c>
      <c r="FO19" s="32">
        <f t="shared" si="169"/>
        <v>1.6108411785361598E-3</v>
      </c>
      <c r="FP19" s="33">
        <f t="shared" si="221"/>
        <v>11907.215033419086</v>
      </c>
      <c r="FQ19" s="79">
        <f t="shared" si="170"/>
        <v>0</v>
      </c>
      <c r="FR19" s="75" t="s">
        <v>8</v>
      </c>
      <c r="FS19" s="30" t="s">
        <v>8</v>
      </c>
      <c r="FT19" s="34">
        <f t="shared" si="222"/>
        <v>0.87121754249132555</v>
      </c>
      <c r="FU19" s="32">
        <f t="shared" si="171"/>
        <v>1.6108411785361598E-3</v>
      </c>
      <c r="FV19" s="33">
        <f t="shared" si="223"/>
        <v>11907.215033419086</v>
      </c>
      <c r="FW19" s="79">
        <f t="shared" si="172"/>
        <v>0</v>
      </c>
      <c r="FX19" s="75" t="s">
        <v>8</v>
      </c>
      <c r="FY19" s="30" t="s">
        <v>8</v>
      </c>
      <c r="FZ19" s="34">
        <f t="shared" si="224"/>
        <v>0.87121754249132555</v>
      </c>
      <c r="GA19" s="32">
        <f t="shared" si="173"/>
        <v>1.6108411785361598E-3</v>
      </c>
      <c r="GB19" s="33">
        <f t="shared" si="225"/>
        <v>11907.215033419086</v>
      </c>
      <c r="GC19" s="79">
        <f t="shared" si="174"/>
        <v>0</v>
      </c>
      <c r="GD19" s="75" t="s">
        <v>8</v>
      </c>
      <c r="GE19" s="30" t="s">
        <v>8</v>
      </c>
      <c r="GF19" s="34">
        <f t="shared" si="226"/>
        <v>0.87121754249132555</v>
      </c>
      <c r="GG19" s="32">
        <f t="shared" si="175"/>
        <v>1.6108411785361598E-3</v>
      </c>
      <c r="GH19" s="33">
        <f t="shared" si="227"/>
        <v>11907.215033419086</v>
      </c>
      <c r="GI19" s="129">
        <f t="shared" si="176"/>
        <v>0</v>
      </c>
      <c r="GJ19" s="178">
        <f t="shared" si="228"/>
        <v>2100141.7721704431</v>
      </c>
      <c r="GK19" s="94">
        <f t="shared" si="177"/>
        <v>2436563.7087866771</v>
      </c>
      <c r="GL19" s="94">
        <v>2436563.71</v>
      </c>
      <c r="GM19" s="85">
        <f t="shared" si="178"/>
        <v>0.87121754249132533</v>
      </c>
    </row>
    <row r="20" spans="1:195" s="25" customFormat="1" ht="15.75" customHeight="1" x14ac:dyDescent="0.25">
      <c r="A20" s="243" t="s">
        <v>189</v>
      </c>
      <c r="B20" s="165" t="s">
        <v>8</v>
      </c>
      <c r="C20" s="165" t="s">
        <v>8</v>
      </c>
      <c r="D20" s="165" t="s">
        <v>8</v>
      </c>
      <c r="E20" s="165" t="s">
        <v>8</v>
      </c>
      <c r="F20" s="165" t="s">
        <v>8</v>
      </c>
      <c r="G20" s="103">
        <f>'Исходные данные'!C22</f>
        <v>1009</v>
      </c>
      <c r="H20" s="33">
        <f>'Исходные данные'!D22</f>
        <v>540284.65</v>
      </c>
      <c r="I20" s="31">
        <f>'Расчет КРП'!G18</f>
        <v>2.9223364328425023</v>
      </c>
      <c r="J20" s="110" t="s">
        <v>8</v>
      </c>
      <c r="K20" s="114">
        <f t="shared" si="104"/>
        <v>0.14002882797446747</v>
      </c>
      <c r="L20" s="76">
        <f t="shared" si="105"/>
        <v>591375.84328533115</v>
      </c>
      <c r="M20" s="72">
        <f t="shared" si="106"/>
        <v>0.29329926833892578</v>
      </c>
      <c r="N20" s="30" t="s">
        <v>8</v>
      </c>
      <c r="O20" s="32">
        <f t="shared" si="107"/>
        <v>0.15119847594756219</v>
      </c>
      <c r="P20" s="33">
        <f t="shared" si="179"/>
        <v>844682.4949435353</v>
      </c>
      <c r="Q20" s="79">
        <f t="shared" si="108"/>
        <v>844682.4949435353</v>
      </c>
      <c r="R20" s="170" t="s">
        <v>8</v>
      </c>
      <c r="S20" s="30" t="s">
        <v>8</v>
      </c>
      <c r="T20" s="34">
        <f t="shared" si="109"/>
        <v>0.5122207197951022</v>
      </c>
      <c r="U20" s="32">
        <f t="shared" si="110"/>
        <v>5.2088061719728351E-2</v>
      </c>
      <c r="V20" s="52">
        <f t="shared" si="180"/>
        <v>328257.22108842985</v>
      </c>
      <c r="W20" s="79">
        <f t="shared" si="111"/>
        <v>328257.22108842985</v>
      </c>
      <c r="X20" s="75" t="s">
        <v>8</v>
      </c>
      <c r="Y20" s="30" t="s">
        <v>8</v>
      </c>
      <c r="Z20" s="34">
        <f t="shared" si="112"/>
        <v>0.59729712154586156</v>
      </c>
      <c r="AA20" s="32">
        <f t="shared" si="113"/>
        <v>4.760458367189524E-2</v>
      </c>
      <c r="AB20" s="52">
        <f t="shared" si="181"/>
        <v>323847.91835381638</v>
      </c>
      <c r="AC20" s="79">
        <f t="shared" si="114"/>
        <v>323847.91835381638</v>
      </c>
      <c r="AD20" s="75" t="s">
        <v>8</v>
      </c>
      <c r="AE20" s="30" t="s">
        <v>8</v>
      </c>
      <c r="AF20" s="34">
        <f t="shared" si="115"/>
        <v>0.68123073774068765</v>
      </c>
      <c r="AG20" s="32">
        <f t="shared" si="116"/>
        <v>2.5183282958416986E-2</v>
      </c>
      <c r="AH20" s="52">
        <f t="shared" si="182"/>
        <v>180430.56069553862</v>
      </c>
      <c r="AI20" s="79">
        <f t="shared" si="117"/>
        <v>180430.56069553862</v>
      </c>
      <c r="AJ20" s="75" t="s">
        <v>8</v>
      </c>
      <c r="AK20" s="30" t="s">
        <v>8</v>
      </c>
      <c r="AL20" s="34">
        <f t="shared" si="118"/>
        <v>0.72799401325660762</v>
      </c>
      <c r="AM20" s="32">
        <f t="shared" si="119"/>
        <v>2.4166752804316682E-2</v>
      </c>
      <c r="AN20" s="52">
        <f t="shared" si="183"/>
        <v>179995.16463823782</v>
      </c>
      <c r="AO20" s="79">
        <f t="shared" si="120"/>
        <v>179995.16463823782</v>
      </c>
      <c r="AP20" s="75" t="s">
        <v>8</v>
      </c>
      <c r="AQ20" s="30" t="s">
        <v>8</v>
      </c>
      <c r="AR20" s="34">
        <f t="shared" si="121"/>
        <v>0.77464444455308012</v>
      </c>
      <c r="AS20" s="32">
        <f t="shared" si="122"/>
        <v>1.0479801901110863E-2</v>
      </c>
      <c r="AT20" s="52">
        <f t="shared" si="184"/>
        <v>80071.996881257262</v>
      </c>
      <c r="AU20" s="79">
        <f t="shared" si="123"/>
        <v>80071.996881257262</v>
      </c>
      <c r="AV20" s="75" t="s">
        <v>8</v>
      </c>
      <c r="AW20" s="30" t="s">
        <v>8</v>
      </c>
      <c r="AX20" s="34">
        <f t="shared" si="124"/>
        <v>0.79539718642138546</v>
      </c>
      <c r="AY20" s="32">
        <f t="shared" si="125"/>
        <v>1.5089882286392409E-2</v>
      </c>
      <c r="AZ20" s="52">
        <f t="shared" si="185"/>
        <v>117716.49917005522</v>
      </c>
      <c r="BA20" s="79">
        <f t="shared" si="126"/>
        <v>117716.49917005522</v>
      </c>
      <c r="BB20" s="75" t="s">
        <v>8</v>
      </c>
      <c r="BC20" s="30" t="s">
        <v>8</v>
      </c>
      <c r="BD20" s="34">
        <f t="shared" si="127"/>
        <v>0.82590648075732531</v>
      </c>
      <c r="BE20" s="32">
        <f t="shared" si="128"/>
        <v>6.5193685432275439E-3</v>
      </c>
      <c r="BF20" s="52">
        <f t="shared" si="186"/>
        <v>51702.437587915883</v>
      </c>
      <c r="BG20" s="79">
        <f t="shared" si="129"/>
        <v>51702.437587915883</v>
      </c>
      <c r="BH20" s="75" t="s">
        <v>8</v>
      </c>
      <c r="BI20" s="30" t="s">
        <v>8</v>
      </c>
      <c r="BJ20" s="34">
        <f t="shared" si="130"/>
        <v>0.83930651301598536</v>
      </c>
      <c r="BK20" s="32">
        <f t="shared" si="131"/>
        <v>1.2971244125101866E-2</v>
      </c>
      <c r="BL20" s="52">
        <f t="shared" si="187"/>
        <v>104489.25339280211</v>
      </c>
      <c r="BM20" s="79">
        <f t="shared" si="132"/>
        <v>104489.25339280211</v>
      </c>
      <c r="BN20" s="75" t="s">
        <v>8</v>
      </c>
      <c r="BO20" s="30" t="s">
        <v>8</v>
      </c>
      <c r="BP20" s="34">
        <f t="shared" si="133"/>
        <v>0.86638762236921474</v>
      </c>
      <c r="BQ20" s="32">
        <f t="shared" si="134"/>
        <v>3.5588459745062861E-3</v>
      </c>
      <c r="BR20" s="52">
        <f t="shared" si="188"/>
        <v>29042.258052046349</v>
      </c>
      <c r="BS20" s="129">
        <f t="shared" si="135"/>
        <v>5258.7268089836307</v>
      </c>
      <c r="BT20" s="75" t="s">
        <v>8</v>
      </c>
      <c r="BU20" s="30" t="s">
        <v>8</v>
      </c>
      <c r="BV20" s="34">
        <f t="shared" si="189"/>
        <v>0.86775055828031256</v>
      </c>
      <c r="BW20" s="32">
        <f t="shared" si="136"/>
        <v>5.077825389549151E-3</v>
      </c>
      <c r="BX20" s="52">
        <f t="shared" si="190"/>
        <v>41530.922019140278</v>
      </c>
      <c r="BY20" s="129">
        <f t="shared" si="137"/>
        <v>0</v>
      </c>
      <c r="BZ20" s="75" t="s">
        <v>8</v>
      </c>
      <c r="CA20" s="30" t="s">
        <v>8</v>
      </c>
      <c r="CB20" s="34">
        <f t="shared" si="191"/>
        <v>0.86775055828031256</v>
      </c>
      <c r="CC20" s="32">
        <f t="shared" si="138"/>
        <v>5.077825389549151E-3</v>
      </c>
      <c r="CD20" s="52">
        <f t="shared" si="192"/>
        <v>41530.922019140278</v>
      </c>
      <c r="CE20" s="129">
        <f t="shared" si="139"/>
        <v>0</v>
      </c>
      <c r="CF20" s="75" t="s">
        <v>8</v>
      </c>
      <c r="CG20" s="30" t="s">
        <v>8</v>
      </c>
      <c r="CH20" s="34">
        <f t="shared" si="140"/>
        <v>0.86775055828031256</v>
      </c>
      <c r="CI20" s="32">
        <f t="shared" si="141"/>
        <v>5.077825389549151E-3</v>
      </c>
      <c r="CJ20" s="52">
        <f t="shared" si="193"/>
        <v>41530.922019140278</v>
      </c>
      <c r="CK20" s="129">
        <f t="shared" si="142"/>
        <v>0</v>
      </c>
      <c r="CL20" s="75" t="s">
        <v>8</v>
      </c>
      <c r="CM20" s="30" t="s">
        <v>8</v>
      </c>
      <c r="CN20" s="34">
        <f t="shared" si="194"/>
        <v>0.86775055828031256</v>
      </c>
      <c r="CO20" s="32">
        <f t="shared" si="143"/>
        <v>5.077825389549151E-3</v>
      </c>
      <c r="CP20" s="52">
        <f t="shared" si="195"/>
        <v>41530.922019140278</v>
      </c>
      <c r="CQ20" s="129">
        <f t="shared" si="144"/>
        <v>0</v>
      </c>
      <c r="CR20" s="75" t="s">
        <v>8</v>
      </c>
      <c r="CS20" s="30" t="s">
        <v>8</v>
      </c>
      <c r="CT20" s="34">
        <f t="shared" si="196"/>
        <v>0.86775055828031256</v>
      </c>
      <c r="CU20" s="32">
        <f t="shared" si="145"/>
        <v>5.077825389549151E-3</v>
      </c>
      <c r="CV20" s="52">
        <f t="shared" si="197"/>
        <v>41530.922019140278</v>
      </c>
      <c r="CW20" s="129">
        <f t="shared" si="146"/>
        <v>0</v>
      </c>
      <c r="CX20" s="75" t="s">
        <v>8</v>
      </c>
      <c r="CY20" s="30" t="s">
        <v>8</v>
      </c>
      <c r="CZ20" s="34">
        <f t="shared" si="198"/>
        <v>0.86775055828031256</v>
      </c>
      <c r="DA20" s="32">
        <f t="shared" si="147"/>
        <v>5.077825389549151E-3</v>
      </c>
      <c r="DB20" s="52">
        <f t="shared" si="199"/>
        <v>41530.922019140278</v>
      </c>
      <c r="DC20" s="129">
        <f t="shared" si="148"/>
        <v>0</v>
      </c>
      <c r="DD20" s="75" t="s">
        <v>8</v>
      </c>
      <c r="DE20" s="30" t="s">
        <v>8</v>
      </c>
      <c r="DF20" s="34">
        <f t="shared" si="200"/>
        <v>0.86775055828031256</v>
      </c>
      <c r="DG20" s="32">
        <f t="shared" si="149"/>
        <v>5.077825389549151E-3</v>
      </c>
      <c r="DH20" s="52">
        <f t="shared" si="201"/>
        <v>41530.922019140278</v>
      </c>
      <c r="DI20" s="129">
        <f t="shared" si="150"/>
        <v>0</v>
      </c>
      <c r="DJ20" s="75" t="s">
        <v>8</v>
      </c>
      <c r="DK20" s="30" t="s">
        <v>8</v>
      </c>
      <c r="DL20" s="34">
        <f t="shared" si="202"/>
        <v>0.86775055828031256</v>
      </c>
      <c r="DM20" s="32">
        <f t="shared" si="151"/>
        <v>5.077825389549151E-3</v>
      </c>
      <c r="DN20" s="52">
        <f t="shared" si="203"/>
        <v>41530.922019140278</v>
      </c>
      <c r="DO20" s="129">
        <f t="shared" si="152"/>
        <v>0</v>
      </c>
      <c r="DP20" s="75" t="s">
        <v>8</v>
      </c>
      <c r="DQ20" s="30" t="s">
        <v>8</v>
      </c>
      <c r="DR20" s="34">
        <f t="shared" si="204"/>
        <v>0.86775055828031256</v>
      </c>
      <c r="DS20" s="32">
        <f t="shared" si="153"/>
        <v>5.077825389549151E-3</v>
      </c>
      <c r="DT20" s="52">
        <f t="shared" si="205"/>
        <v>41530.922019140278</v>
      </c>
      <c r="DU20" s="129">
        <f t="shared" si="154"/>
        <v>0</v>
      </c>
      <c r="DV20" s="75" t="s">
        <v>8</v>
      </c>
      <c r="DW20" s="30" t="s">
        <v>8</v>
      </c>
      <c r="DX20" s="34">
        <f t="shared" si="206"/>
        <v>0.86775055828031256</v>
      </c>
      <c r="DY20" s="32">
        <f t="shared" si="155"/>
        <v>5.077825389549151E-3</v>
      </c>
      <c r="DZ20" s="33">
        <f t="shared" si="207"/>
        <v>41530.922019140278</v>
      </c>
      <c r="EA20" s="79">
        <f t="shared" si="156"/>
        <v>0</v>
      </c>
      <c r="EB20" s="75" t="s">
        <v>8</v>
      </c>
      <c r="EC20" s="30" t="s">
        <v>8</v>
      </c>
      <c r="ED20" s="34">
        <f t="shared" si="208"/>
        <v>0.86775055828031256</v>
      </c>
      <c r="EE20" s="32">
        <f t="shared" si="157"/>
        <v>5.077825389549151E-3</v>
      </c>
      <c r="EF20" s="33">
        <f t="shared" si="209"/>
        <v>41530.922019140278</v>
      </c>
      <c r="EG20" s="79">
        <f t="shared" si="158"/>
        <v>0</v>
      </c>
      <c r="EH20" s="75" t="s">
        <v>8</v>
      </c>
      <c r="EI20" s="30" t="s">
        <v>8</v>
      </c>
      <c r="EJ20" s="34">
        <f t="shared" si="210"/>
        <v>0.86775055828031256</v>
      </c>
      <c r="EK20" s="32">
        <f t="shared" si="159"/>
        <v>5.077825389549151E-3</v>
      </c>
      <c r="EL20" s="33">
        <f t="shared" si="211"/>
        <v>41530.922019140278</v>
      </c>
      <c r="EM20" s="79">
        <f t="shared" si="160"/>
        <v>0</v>
      </c>
      <c r="EN20" s="75" t="s">
        <v>8</v>
      </c>
      <c r="EO20" s="30" t="s">
        <v>8</v>
      </c>
      <c r="EP20" s="34">
        <f t="shared" si="212"/>
        <v>0.86775055828031256</v>
      </c>
      <c r="EQ20" s="32">
        <f t="shared" si="161"/>
        <v>5.077825389549151E-3</v>
      </c>
      <c r="ER20" s="33">
        <f t="shared" si="213"/>
        <v>41530.922019140278</v>
      </c>
      <c r="ES20" s="79">
        <f t="shared" si="162"/>
        <v>0</v>
      </c>
      <c r="ET20" s="75" t="s">
        <v>8</v>
      </c>
      <c r="EU20" s="30" t="s">
        <v>8</v>
      </c>
      <c r="EV20" s="34">
        <f t="shared" si="214"/>
        <v>0.86775055828031256</v>
      </c>
      <c r="EW20" s="32">
        <f t="shared" si="163"/>
        <v>5.077825389549151E-3</v>
      </c>
      <c r="EX20" s="33">
        <f t="shared" si="215"/>
        <v>41530.922019140278</v>
      </c>
      <c r="EY20" s="79">
        <f t="shared" si="164"/>
        <v>0</v>
      </c>
      <c r="EZ20" s="75" t="s">
        <v>8</v>
      </c>
      <c r="FA20" s="30" t="s">
        <v>8</v>
      </c>
      <c r="FB20" s="34">
        <f t="shared" si="216"/>
        <v>0.86775055828031256</v>
      </c>
      <c r="FC20" s="32">
        <f t="shared" si="165"/>
        <v>5.077825389549151E-3</v>
      </c>
      <c r="FD20" s="33">
        <f t="shared" si="217"/>
        <v>41530.922019140278</v>
      </c>
      <c r="FE20" s="79">
        <f t="shared" si="166"/>
        <v>0</v>
      </c>
      <c r="FF20" s="75" t="s">
        <v>8</v>
      </c>
      <c r="FG20" s="30" t="s">
        <v>8</v>
      </c>
      <c r="FH20" s="34">
        <f t="shared" si="218"/>
        <v>0.86775055828031256</v>
      </c>
      <c r="FI20" s="32">
        <f t="shared" si="167"/>
        <v>5.077825389549151E-3</v>
      </c>
      <c r="FJ20" s="33">
        <f t="shared" si="219"/>
        <v>41530.922019140278</v>
      </c>
      <c r="FK20" s="79">
        <f t="shared" si="168"/>
        <v>0</v>
      </c>
      <c r="FL20" s="75" t="s">
        <v>8</v>
      </c>
      <c r="FM20" s="30" t="s">
        <v>8</v>
      </c>
      <c r="FN20" s="34">
        <f t="shared" si="220"/>
        <v>0.86775055828031256</v>
      </c>
      <c r="FO20" s="32">
        <f t="shared" si="169"/>
        <v>5.077825389549151E-3</v>
      </c>
      <c r="FP20" s="33">
        <f t="shared" si="221"/>
        <v>41530.922019140278</v>
      </c>
      <c r="FQ20" s="79">
        <f t="shared" si="170"/>
        <v>0</v>
      </c>
      <c r="FR20" s="75" t="s">
        <v>8</v>
      </c>
      <c r="FS20" s="30" t="s">
        <v>8</v>
      </c>
      <c r="FT20" s="34">
        <f t="shared" si="222"/>
        <v>0.86775055828031256</v>
      </c>
      <c r="FU20" s="32">
        <f t="shared" si="171"/>
        <v>5.077825389549151E-3</v>
      </c>
      <c r="FV20" s="33">
        <f t="shared" si="223"/>
        <v>41530.922019140278</v>
      </c>
      <c r="FW20" s="79">
        <f t="shared" si="172"/>
        <v>0</v>
      </c>
      <c r="FX20" s="75" t="s">
        <v>8</v>
      </c>
      <c r="FY20" s="30" t="s">
        <v>8</v>
      </c>
      <c r="FZ20" s="34">
        <f t="shared" si="224"/>
        <v>0.86775055828031256</v>
      </c>
      <c r="GA20" s="32">
        <f t="shared" si="173"/>
        <v>5.077825389549151E-3</v>
      </c>
      <c r="GB20" s="33">
        <f t="shared" si="225"/>
        <v>41530.922019140278</v>
      </c>
      <c r="GC20" s="79">
        <f t="shared" si="174"/>
        <v>0</v>
      </c>
      <c r="GD20" s="75" t="s">
        <v>8</v>
      </c>
      <c r="GE20" s="30" t="s">
        <v>8</v>
      </c>
      <c r="GF20" s="34">
        <f t="shared" si="226"/>
        <v>0.86775055828031256</v>
      </c>
      <c r="GG20" s="32">
        <f t="shared" si="175"/>
        <v>5.077825389549151E-3</v>
      </c>
      <c r="GH20" s="33">
        <f t="shared" si="227"/>
        <v>41530.922019140278</v>
      </c>
      <c r="GI20" s="129">
        <f t="shared" si="176"/>
        <v>0</v>
      </c>
      <c r="GJ20" s="178">
        <f t="shared" si="228"/>
        <v>2216452.2735605719</v>
      </c>
      <c r="GK20" s="94">
        <f t="shared" si="177"/>
        <v>2807828.116845903</v>
      </c>
      <c r="GL20" s="94">
        <v>2807828.12</v>
      </c>
      <c r="GM20" s="85">
        <f t="shared" si="178"/>
        <v>0.86775055828031233</v>
      </c>
    </row>
    <row r="21" spans="1:195" s="25" customFormat="1" x14ac:dyDescent="0.25">
      <c r="A21" s="243" t="s">
        <v>190</v>
      </c>
      <c r="B21" s="166" t="s">
        <v>8</v>
      </c>
      <c r="C21" s="166" t="s">
        <v>8</v>
      </c>
      <c r="D21" s="166" t="s">
        <v>8</v>
      </c>
      <c r="E21" s="166" t="s">
        <v>8</v>
      </c>
      <c r="F21" s="166" t="s">
        <v>8</v>
      </c>
      <c r="G21" s="152">
        <f>'Исходные данные'!C23</f>
        <v>1676</v>
      </c>
      <c r="H21" s="349">
        <f>'Исходные данные'!D23</f>
        <v>1355391.84</v>
      </c>
      <c r="I21" s="153">
        <f>'Расчет КРП'!G19</f>
        <v>1.8292309858518836</v>
      </c>
      <c r="J21" s="154" t="s">
        <v>8</v>
      </c>
      <c r="K21" s="155">
        <f t="shared" si="104"/>
        <v>0.33786134491932018</v>
      </c>
      <c r="L21" s="156">
        <f t="shared" si="105"/>
        <v>982305.16684461338</v>
      </c>
      <c r="M21" s="157">
        <f t="shared" si="106"/>
        <v>0.58272259831990014</v>
      </c>
      <c r="N21" s="158" t="s">
        <v>8</v>
      </c>
      <c r="O21" s="159">
        <f t="shared" si="107"/>
        <v>-0.13822485403341217</v>
      </c>
      <c r="P21" s="33">
        <f t="shared" si="179"/>
        <v>0</v>
      </c>
      <c r="Q21" s="160">
        <f t="shared" si="108"/>
        <v>0</v>
      </c>
      <c r="R21" s="171" t="s">
        <v>8</v>
      </c>
      <c r="S21" s="158" t="s">
        <v>8</v>
      </c>
      <c r="T21" s="161">
        <f t="shared" si="109"/>
        <v>0.58272259831990014</v>
      </c>
      <c r="U21" s="159">
        <f t="shared" si="110"/>
        <v>-1.8413816805069594E-2</v>
      </c>
      <c r="V21" s="52">
        <f t="shared" si="180"/>
        <v>0</v>
      </c>
      <c r="W21" s="160">
        <f t="shared" si="111"/>
        <v>0</v>
      </c>
      <c r="X21" s="151" t="s">
        <v>8</v>
      </c>
      <c r="Y21" s="158" t="s">
        <v>8</v>
      </c>
      <c r="Z21" s="161">
        <f t="shared" si="112"/>
        <v>0.58272259831990014</v>
      </c>
      <c r="AA21" s="159">
        <f t="shared" si="113"/>
        <v>6.2179106897856662E-2</v>
      </c>
      <c r="AB21" s="52">
        <f t="shared" si="181"/>
        <v>439802.81347459316</v>
      </c>
      <c r="AC21" s="160">
        <f t="shared" si="114"/>
        <v>439802.81347459316</v>
      </c>
      <c r="AD21" s="151" t="s">
        <v>8</v>
      </c>
      <c r="AE21" s="158" t="s">
        <v>8</v>
      </c>
      <c r="AF21" s="161">
        <f t="shared" si="115"/>
        <v>0.69235316099159716</v>
      </c>
      <c r="AG21" s="159">
        <f t="shared" si="116"/>
        <v>1.4060859707507478E-2</v>
      </c>
      <c r="AH21" s="52">
        <f t="shared" si="182"/>
        <v>104744.40005011098</v>
      </c>
      <c r="AI21" s="160">
        <f t="shared" si="117"/>
        <v>104744.40005011098</v>
      </c>
      <c r="AJ21" s="151" t="s">
        <v>8</v>
      </c>
      <c r="AK21" s="158" t="s">
        <v>8</v>
      </c>
      <c r="AL21" s="161">
        <f t="shared" si="118"/>
        <v>0.71846301559548653</v>
      </c>
      <c r="AM21" s="159">
        <f t="shared" si="119"/>
        <v>3.369775046543777E-2</v>
      </c>
      <c r="AN21" s="52">
        <f t="shared" si="183"/>
        <v>260954.40579297286</v>
      </c>
      <c r="AO21" s="160">
        <f t="shared" si="120"/>
        <v>260954.40579297286</v>
      </c>
      <c r="AP21" s="151" t="s">
        <v>8</v>
      </c>
      <c r="AQ21" s="158" t="s">
        <v>8</v>
      </c>
      <c r="AR21" s="161">
        <f t="shared" si="121"/>
        <v>0.78351166344911072</v>
      </c>
      <c r="AS21" s="159">
        <f t="shared" si="122"/>
        <v>1.6125830050802703E-3</v>
      </c>
      <c r="AT21" s="52">
        <f t="shared" si="184"/>
        <v>12810.640665097582</v>
      </c>
      <c r="AU21" s="160">
        <f t="shared" si="123"/>
        <v>12810.640665097582</v>
      </c>
      <c r="AV21" s="151" t="s">
        <v>8</v>
      </c>
      <c r="AW21" s="158" t="s">
        <v>8</v>
      </c>
      <c r="AX21" s="161">
        <f t="shared" si="124"/>
        <v>0.78670499851034892</v>
      </c>
      <c r="AY21" s="159">
        <f t="shared" si="125"/>
        <v>2.3782070197428951E-2</v>
      </c>
      <c r="AZ21" s="52">
        <f t="shared" si="185"/>
        <v>192895.60279342433</v>
      </c>
      <c r="BA21" s="160">
        <f t="shared" si="126"/>
        <v>192895.60279342433</v>
      </c>
      <c r="BB21" s="151" t="s">
        <v>8</v>
      </c>
      <c r="BC21" s="158" t="s">
        <v>8</v>
      </c>
      <c r="BD21" s="161">
        <f t="shared" si="127"/>
        <v>0.8347884868902179</v>
      </c>
      <c r="BE21" s="159">
        <f t="shared" si="128"/>
        <v>-2.3626375896650398E-3</v>
      </c>
      <c r="BF21" s="52">
        <f t="shared" si="186"/>
        <v>0</v>
      </c>
      <c r="BG21" s="160">
        <f t="shared" si="129"/>
        <v>0</v>
      </c>
      <c r="BH21" s="151" t="s">
        <v>8</v>
      </c>
      <c r="BI21" s="158" t="s">
        <v>8</v>
      </c>
      <c r="BJ21" s="161">
        <f t="shared" si="130"/>
        <v>0.8347884868902179</v>
      </c>
      <c r="BK21" s="159">
        <f t="shared" si="131"/>
        <v>1.7489270250869327E-2</v>
      </c>
      <c r="BL21" s="52">
        <f t="shared" si="187"/>
        <v>146481.52971278987</v>
      </c>
      <c r="BM21" s="160">
        <f t="shared" si="132"/>
        <v>146481.52971278987</v>
      </c>
      <c r="BN21" s="151" t="s">
        <v>8</v>
      </c>
      <c r="BO21" s="158" t="s">
        <v>8</v>
      </c>
      <c r="BP21" s="161">
        <f t="shared" si="133"/>
        <v>0.87130224267216405</v>
      </c>
      <c r="BQ21" s="159">
        <f t="shared" si="134"/>
        <v>-1.3557743284430268E-3</v>
      </c>
      <c r="BR21" s="52">
        <f t="shared" si="188"/>
        <v>0</v>
      </c>
      <c r="BS21" s="162">
        <f t="shared" si="135"/>
        <v>0</v>
      </c>
      <c r="BT21" s="151" t="s">
        <v>8</v>
      </c>
      <c r="BU21" s="158" t="s">
        <v>8</v>
      </c>
      <c r="BV21" s="161">
        <f t="shared" si="189"/>
        <v>0.87130224267216405</v>
      </c>
      <c r="BW21" s="159">
        <f t="shared" si="136"/>
        <v>1.5261409976976559E-3</v>
      </c>
      <c r="BX21" s="52">
        <f t="shared" si="190"/>
        <v>12978.05631577985</v>
      </c>
      <c r="BY21" s="162">
        <f t="shared" si="137"/>
        <v>0</v>
      </c>
      <c r="BZ21" s="151" t="s">
        <v>8</v>
      </c>
      <c r="CA21" s="158" t="s">
        <v>8</v>
      </c>
      <c r="CB21" s="161">
        <f t="shared" si="191"/>
        <v>0.87130224267216405</v>
      </c>
      <c r="CC21" s="159">
        <f t="shared" si="138"/>
        <v>1.5261409976976559E-3</v>
      </c>
      <c r="CD21" s="52">
        <f t="shared" si="192"/>
        <v>12978.05631577985</v>
      </c>
      <c r="CE21" s="162">
        <f t="shared" si="139"/>
        <v>0</v>
      </c>
      <c r="CF21" s="151" t="s">
        <v>8</v>
      </c>
      <c r="CG21" s="158" t="s">
        <v>8</v>
      </c>
      <c r="CH21" s="161">
        <f t="shared" si="140"/>
        <v>0.87130224267216405</v>
      </c>
      <c r="CI21" s="159">
        <f t="shared" si="141"/>
        <v>1.5261409976976559E-3</v>
      </c>
      <c r="CJ21" s="52">
        <f t="shared" si="193"/>
        <v>12978.05631577985</v>
      </c>
      <c r="CK21" s="162">
        <f t="shared" si="142"/>
        <v>0</v>
      </c>
      <c r="CL21" s="151" t="s">
        <v>8</v>
      </c>
      <c r="CM21" s="158" t="s">
        <v>8</v>
      </c>
      <c r="CN21" s="161">
        <f t="shared" si="194"/>
        <v>0.87130224267216405</v>
      </c>
      <c r="CO21" s="159">
        <f t="shared" si="143"/>
        <v>1.5261409976976559E-3</v>
      </c>
      <c r="CP21" s="52">
        <f t="shared" si="195"/>
        <v>12978.05631577985</v>
      </c>
      <c r="CQ21" s="162">
        <f t="shared" si="144"/>
        <v>0</v>
      </c>
      <c r="CR21" s="151" t="s">
        <v>8</v>
      </c>
      <c r="CS21" s="158" t="s">
        <v>8</v>
      </c>
      <c r="CT21" s="161">
        <f t="shared" si="196"/>
        <v>0.87130224267216405</v>
      </c>
      <c r="CU21" s="159">
        <f t="shared" si="145"/>
        <v>1.5261409976976559E-3</v>
      </c>
      <c r="CV21" s="52">
        <f t="shared" si="197"/>
        <v>12978.05631577985</v>
      </c>
      <c r="CW21" s="162">
        <f t="shared" si="146"/>
        <v>0</v>
      </c>
      <c r="CX21" s="151" t="s">
        <v>8</v>
      </c>
      <c r="CY21" s="158" t="s">
        <v>8</v>
      </c>
      <c r="CZ21" s="161">
        <f t="shared" si="198"/>
        <v>0.87130224267216405</v>
      </c>
      <c r="DA21" s="159">
        <f t="shared" si="147"/>
        <v>1.5261409976976559E-3</v>
      </c>
      <c r="DB21" s="52">
        <f t="shared" si="199"/>
        <v>12978.05631577985</v>
      </c>
      <c r="DC21" s="162">
        <f t="shared" si="148"/>
        <v>0</v>
      </c>
      <c r="DD21" s="151" t="s">
        <v>8</v>
      </c>
      <c r="DE21" s="158" t="s">
        <v>8</v>
      </c>
      <c r="DF21" s="161">
        <f t="shared" si="200"/>
        <v>0.87130224267216405</v>
      </c>
      <c r="DG21" s="159">
        <f t="shared" si="149"/>
        <v>1.5261409976976559E-3</v>
      </c>
      <c r="DH21" s="52">
        <f t="shared" si="201"/>
        <v>12978.05631577985</v>
      </c>
      <c r="DI21" s="162">
        <f t="shared" si="150"/>
        <v>0</v>
      </c>
      <c r="DJ21" s="151" t="s">
        <v>8</v>
      </c>
      <c r="DK21" s="158" t="s">
        <v>8</v>
      </c>
      <c r="DL21" s="161">
        <f t="shared" si="202"/>
        <v>0.87130224267216405</v>
      </c>
      <c r="DM21" s="159">
        <f t="shared" si="151"/>
        <v>1.5261409976976559E-3</v>
      </c>
      <c r="DN21" s="52">
        <f t="shared" si="203"/>
        <v>12978.05631577985</v>
      </c>
      <c r="DO21" s="162">
        <f t="shared" si="152"/>
        <v>0</v>
      </c>
      <c r="DP21" s="151" t="s">
        <v>8</v>
      </c>
      <c r="DQ21" s="158" t="s">
        <v>8</v>
      </c>
      <c r="DR21" s="161">
        <f t="shared" si="204"/>
        <v>0.87130224267216405</v>
      </c>
      <c r="DS21" s="159">
        <f t="shared" si="153"/>
        <v>1.5261409976976559E-3</v>
      </c>
      <c r="DT21" s="52">
        <f t="shared" si="205"/>
        <v>12978.05631577985</v>
      </c>
      <c r="DU21" s="162">
        <f t="shared" si="154"/>
        <v>0</v>
      </c>
      <c r="DV21" s="151" t="s">
        <v>8</v>
      </c>
      <c r="DW21" s="158" t="s">
        <v>8</v>
      </c>
      <c r="DX21" s="34">
        <f t="shared" si="206"/>
        <v>0.87130224267216405</v>
      </c>
      <c r="DY21" s="159">
        <f t="shared" si="155"/>
        <v>1.5261409976976559E-3</v>
      </c>
      <c r="DZ21" s="33">
        <f t="shared" si="207"/>
        <v>12978.05631577985</v>
      </c>
      <c r="EA21" s="160">
        <f t="shared" si="156"/>
        <v>0</v>
      </c>
      <c r="EB21" s="151" t="s">
        <v>8</v>
      </c>
      <c r="EC21" s="158" t="s">
        <v>8</v>
      </c>
      <c r="ED21" s="34">
        <f t="shared" si="208"/>
        <v>0.87130224267216405</v>
      </c>
      <c r="EE21" s="159">
        <f t="shared" si="157"/>
        <v>1.5261409976976559E-3</v>
      </c>
      <c r="EF21" s="33">
        <f t="shared" si="209"/>
        <v>12978.05631577985</v>
      </c>
      <c r="EG21" s="160">
        <f t="shared" si="158"/>
        <v>0</v>
      </c>
      <c r="EH21" s="151" t="s">
        <v>8</v>
      </c>
      <c r="EI21" s="158" t="s">
        <v>8</v>
      </c>
      <c r="EJ21" s="34">
        <f t="shared" si="210"/>
        <v>0.87130224267216405</v>
      </c>
      <c r="EK21" s="159">
        <f t="shared" si="159"/>
        <v>1.5261409976976559E-3</v>
      </c>
      <c r="EL21" s="33">
        <f t="shared" si="211"/>
        <v>12978.05631577985</v>
      </c>
      <c r="EM21" s="160">
        <f t="shared" si="160"/>
        <v>0</v>
      </c>
      <c r="EN21" s="151" t="s">
        <v>8</v>
      </c>
      <c r="EO21" s="158" t="s">
        <v>8</v>
      </c>
      <c r="EP21" s="34">
        <f t="shared" si="212"/>
        <v>0.87130224267216405</v>
      </c>
      <c r="EQ21" s="159">
        <f t="shared" si="161"/>
        <v>1.5261409976976559E-3</v>
      </c>
      <c r="ER21" s="33">
        <f t="shared" si="213"/>
        <v>12978.05631577985</v>
      </c>
      <c r="ES21" s="160">
        <f t="shared" si="162"/>
        <v>0</v>
      </c>
      <c r="ET21" s="151" t="s">
        <v>8</v>
      </c>
      <c r="EU21" s="158" t="s">
        <v>8</v>
      </c>
      <c r="EV21" s="34">
        <f t="shared" si="214"/>
        <v>0.87130224267216405</v>
      </c>
      <c r="EW21" s="159">
        <f t="shared" si="163"/>
        <v>1.5261409976976559E-3</v>
      </c>
      <c r="EX21" s="33">
        <f t="shared" si="215"/>
        <v>12978.05631577985</v>
      </c>
      <c r="EY21" s="160">
        <f t="shared" si="164"/>
        <v>0</v>
      </c>
      <c r="EZ21" s="151" t="s">
        <v>8</v>
      </c>
      <c r="FA21" s="158" t="s">
        <v>8</v>
      </c>
      <c r="FB21" s="34">
        <f t="shared" si="216"/>
        <v>0.87130224267216405</v>
      </c>
      <c r="FC21" s="159">
        <f t="shared" si="165"/>
        <v>1.5261409976976559E-3</v>
      </c>
      <c r="FD21" s="33">
        <f t="shared" si="217"/>
        <v>12978.05631577985</v>
      </c>
      <c r="FE21" s="160">
        <f t="shared" si="166"/>
        <v>0</v>
      </c>
      <c r="FF21" s="151" t="s">
        <v>8</v>
      </c>
      <c r="FG21" s="158" t="s">
        <v>8</v>
      </c>
      <c r="FH21" s="34">
        <f t="shared" si="218"/>
        <v>0.87130224267216405</v>
      </c>
      <c r="FI21" s="159">
        <f t="shared" si="167"/>
        <v>1.5261409976976559E-3</v>
      </c>
      <c r="FJ21" s="33">
        <f t="shared" si="219"/>
        <v>12978.05631577985</v>
      </c>
      <c r="FK21" s="160">
        <f t="shared" si="168"/>
        <v>0</v>
      </c>
      <c r="FL21" s="151" t="s">
        <v>8</v>
      </c>
      <c r="FM21" s="158" t="s">
        <v>8</v>
      </c>
      <c r="FN21" s="34">
        <f t="shared" si="220"/>
        <v>0.87130224267216405</v>
      </c>
      <c r="FO21" s="159">
        <f t="shared" si="169"/>
        <v>1.5261409976976559E-3</v>
      </c>
      <c r="FP21" s="33">
        <f t="shared" si="221"/>
        <v>12978.05631577985</v>
      </c>
      <c r="FQ21" s="160">
        <f t="shared" si="170"/>
        <v>0</v>
      </c>
      <c r="FR21" s="151" t="s">
        <v>8</v>
      </c>
      <c r="FS21" s="158" t="s">
        <v>8</v>
      </c>
      <c r="FT21" s="34">
        <f t="shared" si="222"/>
        <v>0.87130224267216405</v>
      </c>
      <c r="FU21" s="159">
        <f t="shared" si="171"/>
        <v>1.5261409976976559E-3</v>
      </c>
      <c r="FV21" s="33">
        <f t="shared" si="223"/>
        <v>12978.05631577985</v>
      </c>
      <c r="FW21" s="160">
        <f t="shared" si="172"/>
        <v>0</v>
      </c>
      <c r="FX21" s="151" t="s">
        <v>8</v>
      </c>
      <c r="FY21" s="158" t="s">
        <v>8</v>
      </c>
      <c r="FZ21" s="34">
        <f t="shared" si="224"/>
        <v>0.87130224267216405</v>
      </c>
      <c r="GA21" s="159">
        <f t="shared" si="173"/>
        <v>1.5261409976976559E-3</v>
      </c>
      <c r="GB21" s="33">
        <f t="shared" si="225"/>
        <v>12978.05631577985</v>
      </c>
      <c r="GC21" s="160">
        <f t="shared" si="174"/>
        <v>0</v>
      </c>
      <c r="GD21" s="151" t="s">
        <v>8</v>
      </c>
      <c r="GE21" s="158" t="s">
        <v>8</v>
      </c>
      <c r="GF21" s="34">
        <f t="shared" si="226"/>
        <v>0.87130224267216405</v>
      </c>
      <c r="GG21" s="159">
        <f t="shared" si="175"/>
        <v>1.5261409976976559E-3</v>
      </c>
      <c r="GH21" s="33">
        <f t="shared" si="227"/>
        <v>12978.05631577985</v>
      </c>
      <c r="GI21" s="162">
        <f t="shared" si="176"/>
        <v>0</v>
      </c>
      <c r="GJ21" s="178">
        <f t="shared" si="228"/>
        <v>1157689.3924889888</v>
      </c>
      <c r="GK21" s="94">
        <f t="shared" si="177"/>
        <v>2139994.559333602</v>
      </c>
      <c r="GL21" s="94">
        <v>2139994.56</v>
      </c>
      <c r="GM21" s="85">
        <f t="shared" si="178"/>
        <v>0.87130224267216383</v>
      </c>
    </row>
    <row r="22" spans="1:195" s="25" customFormat="1" x14ac:dyDescent="0.25">
      <c r="A22" s="243" t="s">
        <v>191</v>
      </c>
      <c r="B22" s="166" t="s">
        <v>8</v>
      </c>
      <c r="C22" s="166" t="s">
        <v>8</v>
      </c>
      <c r="D22" s="166" t="s">
        <v>8</v>
      </c>
      <c r="E22" s="166" t="s">
        <v>8</v>
      </c>
      <c r="F22" s="166" t="s">
        <v>8</v>
      </c>
      <c r="G22" s="152">
        <f>'Исходные данные'!C24</f>
        <v>647</v>
      </c>
      <c r="H22" s="349">
        <f>'Исходные данные'!D24</f>
        <v>798468.02</v>
      </c>
      <c r="I22" s="153">
        <f>'Расчет КРП'!G20</f>
        <v>4.5200993399793452</v>
      </c>
      <c r="J22" s="154" t="s">
        <v>8</v>
      </c>
      <c r="K22" s="155">
        <f t="shared" si="104"/>
        <v>0.20865148014276805</v>
      </c>
      <c r="L22" s="156">
        <f t="shared" si="105"/>
        <v>379207.30486185255</v>
      </c>
      <c r="M22" s="157">
        <f t="shared" si="106"/>
        <v>0.30774394653907461</v>
      </c>
      <c r="N22" s="158" t="s">
        <v>8</v>
      </c>
      <c r="O22" s="159">
        <f t="shared" si="107"/>
        <v>0.13675379774741336</v>
      </c>
      <c r="P22" s="33">
        <f t="shared" si="179"/>
        <v>757733.27257401787</v>
      </c>
      <c r="Q22" s="160">
        <f t="shared" si="108"/>
        <v>757733.27257401787</v>
      </c>
      <c r="R22" s="171" t="s">
        <v>8</v>
      </c>
      <c r="S22" s="158" t="s">
        <v>8</v>
      </c>
      <c r="T22" s="161">
        <f t="shared" ref="T22:T27" si="229">(((H22+L22+Q22)/G22)/$J$33)/I22</f>
        <v>0.50575083587697478</v>
      </c>
      <c r="U22" s="159">
        <f t="shared" ref="U22:U27" si="230">S$33-T22</f>
        <v>5.8557945637855768E-2</v>
      </c>
      <c r="V22" s="52">
        <f t="shared" si="180"/>
        <v>366009.87708673958</v>
      </c>
      <c r="W22" s="160">
        <f t="shared" ref="W22:W27" si="231">IF((R$33-V$33)&gt;0,V22,R$33*V22/V$33)</f>
        <v>366009.87708673958</v>
      </c>
      <c r="X22" s="151" t="s">
        <v>8</v>
      </c>
      <c r="Y22" s="158" t="s">
        <v>8</v>
      </c>
      <c r="Z22" s="161">
        <f t="shared" ref="Z22:Z27" si="232">(((H22+L22+Q22+W22)/G22)/$J$33)/I22</f>
        <v>0.60139461958295326</v>
      </c>
      <c r="AA22" s="159">
        <f t="shared" ref="AA22:AA27" si="233">Y$33-Z22</f>
        <v>4.3507085634803544E-2</v>
      </c>
      <c r="AB22" s="52">
        <f t="shared" si="181"/>
        <v>293550.76237990486</v>
      </c>
      <c r="AC22" s="160">
        <f t="shared" ref="AC22:AC27" si="234">IF((X$33-AB$33)&gt;0,AB22,X$33*AB22/AB$33)</f>
        <v>293550.76237990486</v>
      </c>
      <c r="AD22" s="151" t="s">
        <v>8</v>
      </c>
      <c r="AE22" s="158" t="s">
        <v>8</v>
      </c>
      <c r="AF22" s="161">
        <f t="shared" ref="AF22:AF27" si="235">(((H22+L22+Q22+W22+AC22)/G22)/$J$33)/I22</f>
        <v>0.67810376701706732</v>
      </c>
      <c r="AG22" s="159">
        <f t="shared" ref="AG22:AG27" si="236">AE$33-AF22</f>
        <v>2.8310253682037323E-2</v>
      </c>
      <c r="AH22" s="52">
        <f t="shared" si="182"/>
        <v>201174.25237797265</v>
      </c>
      <c r="AI22" s="160">
        <f t="shared" ref="AI22:AI27" si="237">IF((AD$33-AH$33)&gt;0,AH22,AD$33*AH22/AH$33)</f>
        <v>201174.25237797265</v>
      </c>
      <c r="AJ22" s="151" t="s">
        <v>8</v>
      </c>
      <c r="AK22" s="158" t="s">
        <v>8</v>
      </c>
      <c r="AL22" s="161">
        <f t="shared" ref="AL22:AL27" si="238">(((H22+L22+Q22+W22+AC22+AI22)/G22)/$J$33)/I22</f>
        <v>0.73067356877979617</v>
      </c>
      <c r="AM22" s="159">
        <f t="shared" ref="AM22:AM27" si="239">AK$33-AL22</f>
        <v>2.1487197281128134E-2</v>
      </c>
      <c r="AN22" s="52">
        <f t="shared" si="183"/>
        <v>158727.87110347132</v>
      </c>
      <c r="AO22" s="160">
        <f t="shared" ref="AO22:AO27" si="240">IF((AJ$33-AN$33)&gt;0,AN22,AJ$33*AN22/AN$33)</f>
        <v>158727.87110347132</v>
      </c>
      <c r="AP22" s="151" t="s">
        <v>8</v>
      </c>
      <c r="AQ22" s="158" t="s">
        <v>8</v>
      </c>
      <c r="AR22" s="161">
        <f t="shared" ref="AR22:AR27" si="241">(((H22+L22+Q22+W22+AC22+AI22+AO22)/G22)/$J$33)/I22</f>
        <v>0.77215150454690407</v>
      </c>
      <c r="AS22" s="159">
        <f t="shared" ref="AS22:AS27" si="242">AQ$33-AR22</f>
        <v>1.2972741907286922E-2</v>
      </c>
      <c r="AT22" s="52">
        <f t="shared" si="184"/>
        <v>98308.313435774835</v>
      </c>
      <c r="AU22" s="160">
        <f t="shared" ref="AU22:AU27" si="243">IF((AP$33-AT$33)&gt;0,AT22,AP$33*AT22/AT$33)</f>
        <v>98308.313435774835</v>
      </c>
      <c r="AV22" s="151" t="s">
        <v>8</v>
      </c>
      <c r="AW22" s="158" t="s">
        <v>8</v>
      </c>
      <c r="AX22" s="161">
        <f t="shared" ref="AX22:AX27" si="244">(((H22+L22+Q22+W22+AC22+AI22+AO22+AU22)/G22)/$J$33)/I22</f>
        <v>0.79784091801735657</v>
      </c>
      <c r="AY22" s="159">
        <f t="shared" ref="AY22:AY27" si="245">AW$33-AX22</f>
        <v>1.2646150690421298E-2</v>
      </c>
      <c r="AZ22" s="52">
        <f t="shared" si="185"/>
        <v>97845.46917624562</v>
      </c>
      <c r="BA22" s="160">
        <f t="shared" ref="BA22:BA27" si="246">IF((AV$33-AZ$33)&gt;0,AZ22,AV$33*AZ22/AZ$33)</f>
        <v>97845.46917624562</v>
      </c>
      <c r="BB22" s="151" t="s">
        <v>8</v>
      </c>
      <c r="BC22" s="158" t="s">
        <v>8</v>
      </c>
      <c r="BD22" s="161">
        <f t="shared" ref="BD22:BD27" si="247">(((H22+L22+Q22+W22+AC22+AI22+AO22+AU22+BA22)/G22)/$J$33)/I22</f>
        <v>0.8234093834505587</v>
      </c>
      <c r="BE22" s="159">
        <f t="shared" ref="BE22:BE27" si="248">BC$33-BD22</f>
        <v>9.0164658499941597E-3</v>
      </c>
      <c r="BF22" s="52">
        <f t="shared" si="186"/>
        <v>70920.650450113695</v>
      </c>
      <c r="BG22" s="160">
        <f t="shared" ref="BG22:BG27" si="249">IF((BB$33-BF$33)&gt;0,BF22,BB$33*BF22/BF$33)</f>
        <v>70920.650450113695</v>
      </c>
      <c r="BH22" s="151" t="s">
        <v>8</v>
      </c>
      <c r="BI22" s="158" t="s">
        <v>8</v>
      </c>
      <c r="BJ22" s="161">
        <f t="shared" ref="BJ22:BJ27" si="250">(((H22+L22+Q22+W22+AC22+AI22+AO22+AU22+BA22+BG22)/G22)/$J$33)/I22</f>
        <v>0.84194199630223443</v>
      </c>
      <c r="BK22" s="159">
        <f t="shared" ref="BK22:BK27" si="251">BI$33-BJ22</f>
        <v>1.0335760838852792E-2</v>
      </c>
      <c r="BL22" s="52">
        <f t="shared" si="187"/>
        <v>82577.803356959266</v>
      </c>
      <c r="BM22" s="160">
        <f t="shared" ref="BM22:BM27" si="252">IF((BH$33-BL$33)&gt;0,BL22,BH$33*BL22/BL$33)</f>
        <v>82577.803356959266</v>
      </c>
      <c r="BN22" s="151" t="s">
        <v>8</v>
      </c>
      <c r="BO22" s="158" t="s">
        <v>8</v>
      </c>
      <c r="BP22" s="161">
        <f t="shared" ref="BP22:BP27" si="253">(((H22+L22+Q22+W22+AC22+AI22+AO22+AU22+BA22+BG22+BM22)/G22)/$J$33)/I22</f>
        <v>0.86352079528452552</v>
      </c>
      <c r="BQ22" s="159">
        <f t="shared" ref="BQ22:BQ27" si="254">BO$33-BP22</f>
        <v>6.4256730591955025E-3</v>
      </c>
      <c r="BR22" s="52">
        <f t="shared" si="188"/>
        <v>52008.06477304866</v>
      </c>
      <c r="BS22" s="162">
        <f t="shared" ref="BS22:BS27" si="255">IF((BN$33-BR$33)&gt;0,BR22,BN$33*BR22/BR$33)</f>
        <v>9417.1811301744601</v>
      </c>
      <c r="BT22" s="151" t="s">
        <v>8</v>
      </c>
      <c r="BU22" s="158" t="s">
        <v>8</v>
      </c>
      <c r="BV22" s="161">
        <f t="shared" ref="BV22:BV27" si="256">(((H22+L22+Q22+W22+AC22+AI22+AO22+AU22+BA22+BG22+BM22+BS22)/G22)/$J$33)/I22</f>
        <v>0.86598164372474673</v>
      </c>
      <c r="BW22" s="159">
        <f t="shared" ref="BW22:BW27" si="257">BU$33-BV22</f>
        <v>6.8467399451149769E-3</v>
      </c>
      <c r="BX22" s="52">
        <f t="shared" si="190"/>
        <v>55540.338761812956</v>
      </c>
      <c r="BY22" s="162">
        <f t="shared" ref="BY22:BY27" si="258">IF((BT$33-BX$33)&gt;0,BX22,BT$33*BX22/BX$33)</f>
        <v>0</v>
      </c>
      <c r="BZ22" s="151" t="s">
        <v>8</v>
      </c>
      <c r="CA22" s="158" t="s">
        <v>8</v>
      </c>
      <c r="CB22" s="161">
        <f t="shared" ref="CB22:CB27" si="259">(((H22+L22+Q22+W22+AC22+AI22+AO22+AU22+BA22+BG22+BM22+BS22+BY22)/G22)/$J$33)/I22</f>
        <v>0.86598164372474673</v>
      </c>
      <c r="CC22" s="159">
        <f t="shared" ref="CC22:CC27" si="260">CA$33-CB22</f>
        <v>6.8467399451149769E-3</v>
      </c>
      <c r="CD22" s="52">
        <f t="shared" si="192"/>
        <v>55540.338761812956</v>
      </c>
      <c r="CE22" s="162">
        <f t="shared" ref="CE22:CE27" si="261">IF((BZ$33-CD$33)&gt;0,CD22,BZ$33*CD22/CD$33)</f>
        <v>0</v>
      </c>
      <c r="CF22" s="151" t="s">
        <v>8</v>
      </c>
      <c r="CG22" s="158" t="s">
        <v>8</v>
      </c>
      <c r="CH22" s="161">
        <f t="shared" ref="CH22:CH27" si="262">(((H22+L22+Q22+W22+AC22+AI22+AO22+AU22+BA22+BG22+BM22+BS22+BY22+CE22)/G22)/$J$33)/I22</f>
        <v>0.86598164372474673</v>
      </c>
      <c r="CI22" s="159">
        <f t="shared" ref="CI22:CI27" si="263">CG$33-CH22</f>
        <v>6.8467399451149769E-3</v>
      </c>
      <c r="CJ22" s="52">
        <f t="shared" si="193"/>
        <v>55540.338761812956</v>
      </c>
      <c r="CK22" s="162">
        <f t="shared" ref="CK22:CK27" si="264">IF((CF$33-CJ$33)&gt;0,CJ22,CF$33*CJ22/CJ$33)</f>
        <v>0</v>
      </c>
      <c r="CL22" s="151" t="s">
        <v>8</v>
      </c>
      <c r="CM22" s="158" t="s">
        <v>8</v>
      </c>
      <c r="CN22" s="161">
        <f t="shared" ref="CN22:CN27" si="265">(((H22+L22+Q22+W22+AC22+AI22+AO22+AU22+BA22+BG22+BM22+BS22+BY22+CE22+CK22)/G22)/$J$33)/I22</f>
        <v>0.86598164372474673</v>
      </c>
      <c r="CO22" s="159">
        <f t="shared" ref="CO22:CO27" si="266">CM$33-CN22</f>
        <v>6.8467399451149769E-3</v>
      </c>
      <c r="CP22" s="52">
        <f t="shared" si="195"/>
        <v>55540.338761812956</v>
      </c>
      <c r="CQ22" s="162">
        <f t="shared" ref="CQ22:CQ27" si="267">IF((CL$33-CP$33)&gt;0,CP22,CL$33*CP22/CP$33)</f>
        <v>0</v>
      </c>
      <c r="CR22" s="151" t="s">
        <v>8</v>
      </c>
      <c r="CS22" s="158" t="s">
        <v>8</v>
      </c>
      <c r="CT22" s="161">
        <f t="shared" ref="CT22:CT27" si="268">(((H22+L22+Q22+W22+AC22+AI22+AO22+AU22+BA22+BG22+BM22+BS22+BY22+CE22+CK22+CQ22)/G22)/$J$33)/I22</f>
        <v>0.86598164372474673</v>
      </c>
      <c r="CU22" s="159">
        <f t="shared" ref="CU22:CU27" si="269">CS$33-CT22</f>
        <v>6.8467399451149769E-3</v>
      </c>
      <c r="CV22" s="52">
        <f t="shared" si="197"/>
        <v>55540.338761812956</v>
      </c>
      <c r="CW22" s="162">
        <f t="shared" ref="CW22:CW27" si="270">IF((CR$33-CV$33)&gt;0,CV22,CR$33*CV22/CV$33)</f>
        <v>0</v>
      </c>
      <c r="CX22" s="151" t="s">
        <v>8</v>
      </c>
      <c r="CY22" s="158" t="s">
        <v>8</v>
      </c>
      <c r="CZ22" s="161">
        <f t="shared" ref="CZ22:CZ27" si="271">(((H22+L22+Q22+W22+AC22+AI22+AO22+AU22+BA22+BG22+BM22+BS22+BY22+CE22+CK22+CQ22+CW22)/G22)/$J$33)/I22</f>
        <v>0.86598164372474673</v>
      </c>
      <c r="DA22" s="159">
        <f t="shared" ref="DA22:DA27" si="272">CY$33-CZ22</f>
        <v>6.8467399451149769E-3</v>
      </c>
      <c r="DB22" s="52">
        <f t="shared" si="199"/>
        <v>55540.338761812956</v>
      </c>
      <c r="DC22" s="162">
        <f t="shared" ref="DC22:DC27" si="273">IF((CX$33-DB$33)&gt;0,DB22,CX$33*DB22/DB$33)</f>
        <v>0</v>
      </c>
      <c r="DD22" s="151" t="s">
        <v>8</v>
      </c>
      <c r="DE22" s="158" t="s">
        <v>8</v>
      </c>
      <c r="DF22" s="161">
        <f t="shared" ref="DF22:DF27" si="274">(((H22+L22+Q22+W22+AC22+AI22+AO22+AU22+BA22+BG22+BM22+BS22+BY22+CE22+CK22+CQ22+CW22+DC22)/G22)/$J$33)/I22</f>
        <v>0.86598164372474673</v>
      </c>
      <c r="DG22" s="159">
        <f t="shared" ref="DG22:DG27" si="275">DE$33-DF22</f>
        <v>6.8467399451149769E-3</v>
      </c>
      <c r="DH22" s="52">
        <f t="shared" si="201"/>
        <v>55540.338761812956</v>
      </c>
      <c r="DI22" s="162">
        <f t="shared" ref="DI22:DI27" si="276">IF((DD$33-DH$33)&gt;0,DH22,DD$33*DH22/DH$33)</f>
        <v>0</v>
      </c>
      <c r="DJ22" s="151" t="s">
        <v>8</v>
      </c>
      <c r="DK22" s="158" t="s">
        <v>8</v>
      </c>
      <c r="DL22" s="161">
        <f t="shared" ref="DL22:DL27" si="277">(((H22+L22+Q22+W22+AC22+AI22+AO22+AU22+BA22+BG22+BM22+BS22+BY22+CE22+CK22+CQ22+CW22+DC22+DI22)/G22)/$J$33)/I22</f>
        <v>0.86598164372474673</v>
      </c>
      <c r="DM22" s="159">
        <f t="shared" ref="DM22:DM27" si="278">DK$33-DL22</f>
        <v>6.8467399451149769E-3</v>
      </c>
      <c r="DN22" s="52">
        <f t="shared" si="203"/>
        <v>55540.338761812956</v>
      </c>
      <c r="DO22" s="162">
        <f t="shared" ref="DO22:DO27" si="279">IF((DJ$33-DN$33)&gt;0,DN22,DJ$33*DN22/DN$33)</f>
        <v>0</v>
      </c>
      <c r="DP22" s="151" t="s">
        <v>8</v>
      </c>
      <c r="DQ22" s="158" t="s">
        <v>8</v>
      </c>
      <c r="DR22" s="161">
        <f t="shared" ref="DR22:DR27" si="280">(((H22+L22+Q22+W22+AC22+AI22+AO22+AU22+BA22+BG22+BM22+BS22+BY22+CE22+CK22+CQ22+CW22+DC22+DI22+DO22)/G22)/$J$33)/I22</f>
        <v>0.86598164372474673</v>
      </c>
      <c r="DS22" s="159">
        <f t="shared" ref="DS22:DS27" si="281">DQ$33-DR22</f>
        <v>6.8467399451149769E-3</v>
      </c>
      <c r="DT22" s="52">
        <f t="shared" si="205"/>
        <v>55540.338761812956</v>
      </c>
      <c r="DU22" s="162">
        <f t="shared" ref="DU22:DU27" si="282">IF((DP$33-DT$33)&gt;0,DT22,DP$33*DT22/DT$33)</f>
        <v>0</v>
      </c>
      <c r="DV22" s="151" t="s">
        <v>8</v>
      </c>
      <c r="DW22" s="158" t="s">
        <v>8</v>
      </c>
      <c r="DX22" s="34">
        <f t="shared" si="206"/>
        <v>0.86598164372474673</v>
      </c>
      <c r="DY22" s="159">
        <f t="shared" ref="DY22:DY27" si="283">DW$33-DX22</f>
        <v>6.8467399451149769E-3</v>
      </c>
      <c r="DZ22" s="33">
        <f t="shared" si="207"/>
        <v>55540.338761812956</v>
      </c>
      <c r="EA22" s="160">
        <f t="shared" ref="EA22:EA27" si="284">IF((DV$33-DZ$33)&gt;0,DZ22,DV$33*DZ22/DZ$33)</f>
        <v>0</v>
      </c>
      <c r="EB22" s="151" t="s">
        <v>8</v>
      </c>
      <c r="EC22" s="158" t="s">
        <v>8</v>
      </c>
      <c r="ED22" s="34">
        <f t="shared" si="208"/>
        <v>0.86598164372474673</v>
      </c>
      <c r="EE22" s="159">
        <f t="shared" si="157"/>
        <v>6.8467399451149769E-3</v>
      </c>
      <c r="EF22" s="33">
        <f t="shared" si="209"/>
        <v>55540.338761812956</v>
      </c>
      <c r="EG22" s="160">
        <f t="shared" si="158"/>
        <v>0</v>
      </c>
      <c r="EH22" s="151" t="s">
        <v>8</v>
      </c>
      <c r="EI22" s="158" t="s">
        <v>8</v>
      </c>
      <c r="EJ22" s="34">
        <f t="shared" si="210"/>
        <v>0.86598164372474673</v>
      </c>
      <c r="EK22" s="159">
        <f t="shared" si="159"/>
        <v>6.8467399451149769E-3</v>
      </c>
      <c r="EL22" s="33">
        <f t="shared" si="211"/>
        <v>55540.338761812956</v>
      </c>
      <c r="EM22" s="160">
        <f t="shared" si="160"/>
        <v>0</v>
      </c>
      <c r="EN22" s="151" t="s">
        <v>8</v>
      </c>
      <c r="EO22" s="158" t="s">
        <v>8</v>
      </c>
      <c r="EP22" s="34">
        <f t="shared" si="212"/>
        <v>0.86598164372474673</v>
      </c>
      <c r="EQ22" s="159">
        <f t="shared" si="161"/>
        <v>6.8467399451149769E-3</v>
      </c>
      <c r="ER22" s="33">
        <f t="shared" si="213"/>
        <v>55540.338761812956</v>
      </c>
      <c r="ES22" s="160">
        <f t="shared" si="162"/>
        <v>0</v>
      </c>
      <c r="ET22" s="151" t="s">
        <v>8</v>
      </c>
      <c r="EU22" s="158" t="s">
        <v>8</v>
      </c>
      <c r="EV22" s="34">
        <f t="shared" si="214"/>
        <v>0.86598164372474673</v>
      </c>
      <c r="EW22" s="159">
        <f t="shared" si="163"/>
        <v>6.8467399451149769E-3</v>
      </c>
      <c r="EX22" s="33">
        <f t="shared" si="215"/>
        <v>55540.338761812956</v>
      </c>
      <c r="EY22" s="160">
        <f t="shared" si="164"/>
        <v>0</v>
      </c>
      <c r="EZ22" s="151" t="s">
        <v>8</v>
      </c>
      <c r="FA22" s="158" t="s">
        <v>8</v>
      </c>
      <c r="FB22" s="34">
        <f t="shared" si="216"/>
        <v>0.86598164372474673</v>
      </c>
      <c r="FC22" s="159">
        <f t="shared" si="165"/>
        <v>6.8467399451149769E-3</v>
      </c>
      <c r="FD22" s="33">
        <f t="shared" si="217"/>
        <v>55540.338761812956</v>
      </c>
      <c r="FE22" s="160">
        <f t="shared" si="166"/>
        <v>0</v>
      </c>
      <c r="FF22" s="151" t="s">
        <v>8</v>
      </c>
      <c r="FG22" s="158" t="s">
        <v>8</v>
      </c>
      <c r="FH22" s="34">
        <f t="shared" si="218"/>
        <v>0.86598164372474673</v>
      </c>
      <c r="FI22" s="159">
        <f t="shared" si="167"/>
        <v>6.8467399451149769E-3</v>
      </c>
      <c r="FJ22" s="33">
        <f t="shared" si="219"/>
        <v>55540.338761812956</v>
      </c>
      <c r="FK22" s="160">
        <f t="shared" si="168"/>
        <v>0</v>
      </c>
      <c r="FL22" s="151" t="s">
        <v>8</v>
      </c>
      <c r="FM22" s="158" t="s">
        <v>8</v>
      </c>
      <c r="FN22" s="34">
        <f t="shared" si="220"/>
        <v>0.86598164372474673</v>
      </c>
      <c r="FO22" s="159">
        <f t="shared" si="169"/>
        <v>6.8467399451149769E-3</v>
      </c>
      <c r="FP22" s="33">
        <f t="shared" si="221"/>
        <v>55540.338761812956</v>
      </c>
      <c r="FQ22" s="160">
        <f t="shared" si="170"/>
        <v>0</v>
      </c>
      <c r="FR22" s="151" t="s">
        <v>8</v>
      </c>
      <c r="FS22" s="158" t="s">
        <v>8</v>
      </c>
      <c r="FT22" s="34">
        <f t="shared" si="222"/>
        <v>0.86598164372474673</v>
      </c>
      <c r="FU22" s="159">
        <f t="shared" si="171"/>
        <v>6.8467399451149769E-3</v>
      </c>
      <c r="FV22" s="33">
        <f t="shared" si="223"/>
        <v>55540.338761812956</v>
      </c>
      <c r="FW22" s="160">
        <f t="shared" si="172"/>
        <v>0</v>
      </c>
      <c r="FX22" s="151" t="s">
        <v>8</v>
      </c>
      <c r="FY22" s="158" t="s">
        <v>8</v>
      </c>
      <c r="FZ22" s="34">
        <f t="shared" si="224"/>
        <v>0.86598164372474673</v>
      </c>
      <c r="GA22" s="159">
        <f t="shared" si="173"/>
        <v>6.8467399451149769E-3</v>
      </c>
      <c r="GB22" s="33">
        <f t="shared" si="225"/>
        <v>55540.338761812956</v>
      </c>
      <c r="GC22" s="160">
        <f t="shared" si="174"/>
        <v>0</v>
      </c>
      <c r="GD22" s="151" t="s">
        <v>8</v>
      </c>
      <c r="GE22" s="158" t="s">
        <v>8</v>
      </c>
      <c r="GF22" s="34">
        <f t="shared" si="226"/>
        <v>0.86598164372474673</v>
      </c>
      <c r="GG22" s="159">
        <f t="shared" si="175"/>
        <v>6.8467399451149769E-3</v>
      </c>
      <c r="GH22" s="33">
        <f t="shared" si="227"/>
        <v>55540.338761812956</v>
      </c>
      <c r="GI22" s="162">
        <f t="shared" si="176"/>
        <v>0</v>
      </c>
      <c r="GJ22" s="178">
        <f t="shared" si="228"/>
        <v>2136265.4530713744</v>
      </c>
      <c r="GK22" s="94">
        <f t="shared" si="177"/>
        <v>2515472.7579332269</v>
      </c>
      <c r="GL22" s="94">
        <v>2515472.7599999998</v>
      </c>
      <c r="GM22" s="85">
        <f t="shared" si="178"/>
        <v>0.86598164372474673</v>
      </c>
    </row>
    <row r="23" spans="1:195" s="25" customFormat="1" x14ac:dyDescent="0.25">
      <c r="A23" s="243" t="s">
        <v>192</v>
      </c>
      <c r="B23" s="166" t="s">
        <v>8</v>
      </c>
      <c r="C23" s="166" t="s">
        <v>8</v>
      </c>
      <c r="D23" s="166" t="s">
        <v>8</v>
      </c>
      <c r="E23" s="166" t="s">
        <v>8</v>
      </c>
      <c r="F23" s="166" t="s">
        <v>8</v>
      </c>
      <c r="G23" s="152">
        <f>'Исходные данные'!C25</f>
        <v>939</v>
      </c>
      <c r="H23" s="349">
        <f>'Исходные данные'!D25</f>
        <v>934499.91</v>
      </c>
      <c r="I23" s="153">
        <f>'Расчет КРП'!G21</f>
        <v>3.6802377969436639</v>
      </c>
      <c r="J23" s="154" t="s">
        <v>8</v>
      </c>
      <c r="K23" s="155">
        <f t="shared" si="104"/>
        <v>0.20665884309907218</v>
      </c>
      <c r="L23" s="156">
        <f t="shared" si="105"/>
        <v>550348.77784432692</v>
      </c>
      <c r="M23" s="157">
        <f t="shared" si="106"/>
        <v>0.32836505249859677</v>
      </c>
      <c r="N23" s="158" t="s">
        <v>8</v>
      </c>
      <c r="O23" s="159">
        <f t="shared" si="107"/>
        <v>0.11613269178789121</v>
      </c>
      <c r="P23" s="33">
        <f t="shared" si="179"/>
        <v>760362.46128507913</v>
      </c>
      <c r="Q23" s="160">
        <f t="shared" si="108"/>
        <v>760362.46128507913</v>
      </c>
      <c r="R23" s="171" t="s">
        <v>8</v>
      </c>
      <c r="S23" s="158" t="s">
        <v>8</v>
      </c>
      <c r="T23" s="161">
        <f t="shared" si="229"/>
        <v>0.49651448183897789</v>
      </c>
      <c r="U23" s="159">
        <f t="shared" si="230"/>
        <v>6.7794299675852654E-2</v>
      </c>
      <c r="V23" s="52">
        <f t="shared" si="180"/>
        <v>500713.57438914018</v>
      </c>
      <c r="W23" s="160">
        <f t="shared" si="231"/>
        <v>500713.57438914018</v>
      </c>
      <c r="X23" s="151" t="s">
        <v>8</v>
      </c>
      <c r="Y23" s="158" t="s">
        <v>8</v>
      </c>
      <c r="Z23" s="161">
        <f t="shared" si="232"/>
        <v>0.60724417469390912</v>
      </c>
      <c r="AA23" s="159">
        <f t="shared" si="233"/>
        <v>3.7657530523847682E-2</v>
      </c>
      <c r="AB23" s="52">
        <f t="shared" si="181"/>
        <v>300237.04025418335</v>
      </c>
      <c r="AC23" s="160">
        <f t="shared" si="234"/>
        <v>300237.04025418335</v>
      </c>
      <c r="AD23" s="151" t="s">
        <v>8</v>
      </c>
      <c r="AE23" s="158" t="s">
        <v>8</v>
      </c>
      <c r="AF23" s="161">
        <f t="shared" si="235"/>
        <v>0.67363972886193368</v>
      </c>
      <c r="AG23" s="159">
        <f t="shared" si="236"/>
        <v>3.2774291837170955E-2</v>
      </c>
      <c r="AH23" s="52">
        <f t="shared" si="182"/>
        <v>275201.73333087319</v>
      </c>
      <c r="AI23" s="160">
        <f t="shared" si="237"/>
        <v>275201.73333087319</v>
      </c>
      <c r="AJ23" s="151" t="s">
        <v>8</v>
      </c>
      <c r="AK23" s="158" t="s">
        <v>8</v>
      </c>
      <c r="AL23" s="161">
        <f t="shared" si="238"/>
        <v>0.73449888060761725</v>
      </c>
      <c r="AM23" s="159">
        <f t="shared" si="239"/>
        <v>1.7661885453307047E-2</v>
      </c>
      <c r="AN23" s="52">
        <f t="shared" si="183"/>
        <v>154169.93785213985</v>
      </c>
      <c r="AO23" s="160">
        <f t="shared" si="240"/>
        <v>154169.93785213985</v>
      </c>
      <c r="AP23" s="151" t="s">
        <v>8</v>
      </c>
      <c r="AQ23" s="158" t="s">
        <v>8</v>
      </c>
      <c r="AR23" s="161">
        <f t="shared" si="241"/>
        <v>0.76859260352427239</v>
      </c>
      <c r="AS23" s="159">
        <f t="shared" si="242"/>
        <v>1.65316429299186E-2</v>
      </c>
      <c r="AT23" s="52">
        <f t="shared" si="184"/>
        <v>148034.75771680448</v>
      </c>
      <c r="AU23" s="160">
        <f t="shared" si="243"/>
        <v>148034.75771680448</v>
      </c>
      <c r="AV23" s="151" t="s">
        <v>8</v>
      </c>
      <c r="AW23" s="158" t="s">
        <v>8</v>
      </c>
      <c r="AX23" s="161">
        <f t="shared" si="244"/>
        <v>0.80132956951093171</v>
      </c>
      <c r="AY23" s="159">
        <f t="shared" si="245"/>
        <v>9.1574991968461639E-3</v>
      </c>
      <c r="AZ23" s="52">
        <f t="shared" si="185"/>
        <v>83723.711040853115</v>
      </c>
      <c r="BA23" s="160">
        <f t="shared" si="246"/>
        <v>83723.711040853115</v>
      </c>
      <c r="BB23" s="151" t="s">
        <v>8</v>
      </c>
      <c r="BC23" s="158" t="s">
        <v>8</v>
      </c>
      <c r="BD23" s="161">
        <f t="shared" si="247"/>
        <v>0.81984454749917335</v>
      </c>
      <c r="BE23" s="159">
        <f t="shared" si="248"/>
        <v>1.2581301801379507E-2</v>
      </c>
      <c r="BF23" s="52">
        <f t="shared" si="186"/>
        <v>116936.78830679914</v>
      </c>
      <c r="BG23" s="160">
        <f t="shared" si="249"/>
        <v>116936.78830679914</v>
      </c>
      <c r="BH23" s="151" t="s">
        <v>8</v>
      </c>
      <c r="BI23" s="158" t="s">
        <v>8</v>
      </c>
      <c r="BJ23" s="161">
        <f t="shared" si="250"/>
        <v>0.845704390960479</v>
      </c>
      <c r="BK23" s="159">
        <f t="shared" si="251"/>
        <v>6.57336618060822E-3</v>
      </c>
      <c r="BL23" s="52">
        <f t="shared" si="187"/>
        <v>62058.019845313087</v>
      </c>
      <c r="BM23" s="160">
        <f t="shared" si="252"/>
        <v>62058.019845313087</v>
      </c>
      <c r="BN23" s="151" t="s">
        <v>8</v>
      </c>
      <c r="BO23" s="158" t="s">
        <v>8</v>
      </c>
      <c r="BP23" s="161">
        <f t="shared" si="253"/>
        <v>0.85942813608770074</v>
      </c>
      <c r="BQ23" s="159">
        <f t="shared" si="254"/>
        <v>1.051833225602028E-2</v>
      </c>
      <c r="BR23" s="52">
        <f t="shared" si="188"/>
        <v>100597.72697840298</v>
      </c>
      <c r="BS23" s="162">
        <f t="shared" si="255"/>
        <v>18215.386793826401</v>
      </c>
      <c r="BT23" s="151" t="s">
        <v>8</v>
      </c>
      <c r="BU23" s="158" t="s">
        <v>8</v>
      </c>
      <c r="BV23" s="161">
        <f t="shared" si="256"/>
        <v>0.86345635558898925</v>
      </c>
      <c r="BW23" s="159">
        <f t="shared" si="257"/>
        <v>9.3720280808724521E-3</v>
      </c>
      <c r="BX23" s="52">
        <f t="shared" si="190"/>
        <v>89835.395929144579</v>
      </c>
      <c r="BY23" s="162">
        <f t="shared" si="258"/>
        <v>0</v>
      </c>
      <c r="BZ23" s="151" t="s">
        <v>8</v>
      </c>
      <c r="CA23" s="158" t="s">
        <v>8</v>
      </c>
      <c r="CB23" s="161">
        <f t="shared" si="259"/>
        <v>0.86345635558898925</v>
      </c>
      <c r="CC23" s="159">
        <f t="shared" si="260"/>
        <v>9.3720280808724521E-3</v>
      </c>
      <c r="CD23" s="52">
        <f t="shared" si="192"/>
        <v>89835.395929144579</v>
      </c>
      <c r="CE23" s="162">
        <f t="shared" si="261"/>
        <v>0</v>
      </c>
      <c r="CF23" s="151" t="s">
        <v>8</v>
      </c>
      <c r="CG23" s="158" t="s">
        <v>8</v>
      </c>
      <c r="CH23" s="161">
        <f t="shared" si="262"/>
        <v>0.86345635558898925</v>
      </c>
      <c r="CI23" s="159">
        <f t="shared" si="263"/>
        <v>9.3720280808724521E-3</v>
      </c>
      <c r="CJ23" s="52">
        <f t="shared" si="193"/>
        <v>89835.395929144579</v>
      </c>
      <c r="CK23" s="162">
        <f t="shared" si="264"/>
        <v>0</v>
      </c>
      <c r="CL23" s="151" t="s">
        <v>8</v>
      </c>
      <c r="CM23" s="158" t="s">
        <v>8</v>
      </c>
      <c r="CN23" s="161">
        <f t="shared" si="265"/>
        <v>0.86345635558898925</v>
      </c>
      <c r="CO23" s="159">
        <f t="shared" si="266"/>
        <v>9.3720280808724521E-3</v>
      </c>
      <c r="CP23" s="52">
        <f t="shared" si="195"/>
        <v>89835.395929144579</v>
      </c>
      <c r="CQ23" s="162">
        <f t="shared" si="267"/>
        <v>0</v>
      </c>
      <c r="CR23" s="151" t="s">
        <v>8</v>
      </c>
      <c r="CS23" s="158" t="s">
        <v>8</v>
      </c>
      <c r="CT23" s="161">
        <f t="shared" si="268"/>
        <v>0.86345635558898925</v>
      </c>
      <c r="CU23" s="159">
        <f t="shared" si="269"/>
        <v>9.3720280808724521E-3</v>
      </c>
      <c r="CV23" s="52">
        <f t="shared" si="197"/>
        <v>89835.395929144579</v>
      </c>
      <c r="CW23" s="162">
        <f t="shared" si="270"/>
        <v>0</v>
      </c>
      <c r="CX23" s="151" t="s">
        <v>8</v>
      </c>
      <c r="CY23" s="158" t="s">
        <v>8</v>
      </c>
      <c r="CZ23" s="161">
        <f t="shared" si="271"/>
        <v>0.86345635558898925</v>
      </c>
      <c r="DA23" s="159">
        <f t="shared" si="272"/>
        <v>9.3720280808724521E-3</v>
      </c>
      <c r="DB23" s="52">
        <f t="shared" si="199"/>
        <v>89835.395929144579</v>
      </c>
      <c r="DC23" s="162">
        <f t="shared" si="273"/>
        <v>0</v>
      </c>
      <c r="DD23" s="151" t="s">
        <v>8</v>
      </c>
      <c r="DE23" s="158" t="s">
        <v>8</v>
      </c>
      <c r="DF23" s="161">
        <f t="shared" si="274"/>
        <v>0.86345635558898925</v>
      </c>
      <c r="DG23" s="159">
        <f t="shared" si="275"/>
        <v>9.3720280808724521E-3</v>
      </c>
      <c r="DH23" s="52">
        <f t="shared" si="201"/>
        <v>89835.395929144579</v>
      </c>
      <c r="DI23" s="162">
        <f t="shared" si="276"/>
        <v>0</v>
      </c>
      <c r="DJ23" s="151" t="s">
        <v>8</v>
      </c>
      <c r="DK23" s="158" t="s">
        <v>8</v>
      </c>
      <c r="DL23" s="161">
        <f t="shared" si="277"/>
        <v>0.86345635558898925</v>
      </c>
      <c r="DM23" s="159">
        <f t="shared" si="278"/>
        <v>9.3720280808724521E-3</v>
      </c>
      <c r="DN23" s="52">
        <f t="shared" si="203"/>
        <v>89835.395929144579</v>
      </c>
      <c r="DO23" s="162">
        <f t="shared" si="279"/>
        <v>0</v>
      </c>
      <c r="DP23" s="151" t="s">
        <v>8</v>
      </c>
      <c r="DQ23" s="158" t="s">
        <v>8</v>
      </c>
      <c r="DR23" s="161">
        <f t="shared" si="280"/>
        <v>0.86345635558898925</v>
      </c>
      <c r="DS23" s="159">
        <f t="shared" si="281"/>
        <v>9.3720280808724521E-3</v>
      </c>
      <c r="DT23" s="52">
        <f t="shared" si="205"/>
        <v>89835.395929144579</v>
      </c>
      <c r="DU23" s="162">
        <f t="shared" si="282"/>
        <v>0</v>
      </c>
      <c r="DV23" s="151" t="s">
        <v>8</v>
      </c>
      <c r="DW23" s="158" t="s">
        <v>8</v>
      </c>
      <c r="DX23" s="34">
        <f t="shared" si="206"/>
        <v>0.86345635558898925</v>
      </c>
      <c r="DY23" s="159">
        <f t="shared" si="283"/>
        <v>9.3720280808724521E-3</v>
      </c>
      <c r="DZ23" s="33">
        <f t="shared" si="207"/>
        <v>89835.395929144579</v>
      </c>
      <c r="EA23" s="160">
        <f t="shared" si="284"/>
        <v>0</v>
      </c>
      <c r="EB23" s="151" t="s">
        <v>8</v>
      </c>
      <c r="EC23" s="158" t="s">
        <v>8</v>
      </c>
      <c r="ED23" s="34">
        <f t="shared" si="208"/>
        <v>0.86345635558898925</v>
      </c>
      <c r="EE23" s="159">
        <f t="shared" si="157"/>
        <v>9.3720280808724521E-3</v>
      </c>
      <c r="EF23" s="33">
        <f t="shared" si="209"/>
        <v>89835.395929144579</v>
      </c>
      <c r="EG23" s="160">
        <f t="shared" si="158"/>
        <v>0</v>
      </c>
      <c r="EH23" s="151" t="s">
        <v>8</v>
      </c>
      <c r="EI23" s="158" t="s">
        <v>8</v>
      </c>
      <c r="EJ23" s="34">
        <f t="shared" si="210"/>
        <v>0.86345635558898925</v>
      </c>
      <c r="EK23" s="159">
        <f t="shared" si="159"/>
        <v>9.3720280808724521E-3</v>
      </c>
      <c r="EL23" s="33">
        <f t="shared" si="211"/>
        <v>89835.395929144579</v>
      </c>
      <c r="EM23" s="160">
        <f t="shared" si="160"/>
        <v>0</v>
      </c>
      <c r="EN23" s="151" t="s">
        <v>8</v>
      </c>
      <c r="EO23" s="158" t="s">
        <v>8</v>
      </c>
      <c r="EP23" s="34">
        <f t="shared" si="212"/>
        <v>0.86345635558898925</v>
      </c>
      <c r="EQ23" s="159">
        <f t="shared" si="161"/>
        <v>9.3720280808724521E-3</v>
      </c>
      <c r="ER23" s="33">
        <f t="shared" si="213"/>
        <v>89835.395929144579</v>
      </c>
      <c r="ES23" s="160">
        <f t="shared" si="162"/>
        <v>0</v>
      </c>
      <c r="ET23" s="151" t="s">
        <v>8</v>
      </c>
      <c r="EU23" s="158" t="s">
        <v>8</v>
      </c>
      <c r="EV23" s="34">
        <f t="shared" si="214"/>
        <v>0.86345635558898925</v>
      </c>
      <c r="EW23" s="159">
        <f t="shared" si="163"/>
        <v>9.3720280808724521E-3</v>
      </c>
      <c r="EX23" s="33">
        <f t="shared" si="215"/>
        <v>89835.395929144579</v>
      </c>
      <c r="EY23" s="160">
        <f t="shared" si="164"/>
        <v>0</v>
      </c>
      <c r="EZ23" s="151" t="s">
        <v>8</v>
      </c>
      <c r="FA23" s="158" t="s">
        <v>8</v>
      </c>
      <c r="FB23" s="34">
        <f t="shared" si="216"/>
        <v>0.86345635558898925</v>
      </c>
      <c r="FC23" s="159">
        <f t="shared" si="165"/>
        <v>9.3720280808724521E-3</v>
      </c>
      <c r="FD23" s="33">
        <f t="shared" si="217"/>
        <v>89835.395929144579</v>
      </c>
      <c r="FE23" s="160">
        <f t="shared" si="166"/>
        <v>0</v>
      </c>
      <c r="FF23" s="151" t="s">
        <v>8</v>
      </c>
      <c r="FG23" s="158" t="s">
        <v>8</v>
      </c>
      <c r="FH23" s="34">
        <f t="shared" si="218"/>
        <v>0.86345635558898925</v>
      </c>
      <c r="FI23" s="159">
        <f t="shared" si="167"/>
        <v>9.3720280808724521E-3</v>
      </c>
      <c r="FJ23" s="33">
        <f t="shared" si="219"/>
        <v>89835.395929144579</v>
      </c>
      <c r="FK23" s="160">
        <f t="shared" si="168"/>
        <v>0</v>
      </c>
      <c r="FL23" s="151" t="s">
        <v>8</v>
      </c>
      <c r="FM23" s="158" t="s">
        <v>8</v>
      </c>
      <c r="FN23" s="34">
        <f t="shared" si="220"/>
        <v>0.86345635558898925</v>
      </c>
      <c r="FO23" s="159">
        <f t="shared" si="169"/>
        <v>9.3720280808724521E-3</v>
      </c>
      <c r="FP23" s="33">
        <f t="shared" si="221"/>
        <v>89835.395929144579</v>
      </c>
      <c r="FQ23" s="160">
        <f t="shared" si="170"/>
        <v>0</v>
      </c>
      <c r="FR23" s="151" t="s">
        <v>8</v>
      </c>
      <c r="FS23" s="158" t="s">
        <v>8</v>
      </c>
      <c r="FT23" s="34">
        <f t="shared" si="222"/>
        <v>0.86345635558898925</v>
      </c>
      <c r="FU23" s="159">
        <f t="shared" si="171"/>
        <v>9.3720280808724521E-3</v>
      </c>
      <c r="FV23" s="33">
        <f t="shared" si="223"/>
        <v>89835.395929144579</v>
      </c>
      <c r="FW23" s="160">
        <f t="shared" si="172"/>
        <v>0</v>
      </c>
      <c r="FX23" s="151" t="s">
        <v>8</v>
      </c>
      <c r="FY23" s="158" t="s">
        <v>8</v>
      </c>
      <c r="FZ23" s="34">
        <f t="shared" si="224"/>
        <v>0.86345635558898925</v>
      </c>
      <c r="GA23" s="159">
        <f t="shared" si="173"/>
        <v>9.3720280808724521E-3</v>
      </c>
      <c r="GB23" s="33">
        <f t="shared" si="225"/>
        <v>89835.395929144579</v>
      </c>
      <c r="GC23" s="160">
        <f t="shared" si="174"/>
        <v>0</v>
      </c>
      <c r="GD23" s="151" t="s">
        <v>8</v>
      </c>
      <c r="GE23" s="158" t="s">
        <v>8</v>
      </c>
      <c r="GF23" s="34">
        <f t="shared" si="226"/>
        <v>0.86345635558898925</v>
      </c>
      <c r="GG23" s="159">
        <f t="shared" si="175"/>
        <v>9.3720280808724521E-3</v>
      </c>
      <c r="GH23" s="33">
        <f t="shared" si="227"/>
        <v>89835.395929144579</v>
      </c>
      <c r="GI23" s="162">
        <f t="shared" si="176"/>
        <v>0</v>
      </c>
      <c r="GJ23" s="178">
        <f t="shared" si="228"/>
        <v>2419653.4108150117</v>
      </c>
      <c r="GK23" s="94">
        <f t="shared" si="177"/>
        <v>2970002.1886593387</v>
      </c>
      <c r="GL23" s="94">
        <v>2970002.19</v>
      </c>
      <c r="GM23" s="85">
        <f t="shared" si="178"/>
        <v>0.86345635558898892</v>
      </c>
    </row>
    <row r="24" spans="1:195" s="25" customFormat="1" x14ac:dyDescent="0.25">
      <c r="A24" s="243" t="s">
        <v>193</v>
      </c>
      <c r="B24" s="166" t="s">
        <v>8</v>
      </c>
      <c r="C24" s="166" t="s">
        <v>8</v>
      </c>
      <c r="D24" s="166" t="s">
        <v>8</v>
      </c>
      <c r="E24" s="166" t="s">
        <v>8</v>
      </c>
      <c r="F24" s="166" t="s">
        <v>8</v>
      </c>
      <c r="G24" s="152">
        <f>'Исходные данные'!C26</f>
        <v>1466</v>
      </c>
      <c r="H24" s="349">
        <f>'Исходные данные'!D26</f>
        <v>1292521.73</v>
      </c>
      <c r="I24" s="153">
        <f>'Расчет КРП'!G22</f>
        <v>2.2173741289286841</v>
      </c>
      <c r="J24" s="154" t="s">
        <v>8</v>
      </c>
      <c r="K24" s="155">
        <f t="shared" si="104"/>
        <v>0.30386530127930839</v>
      </c>
      <c r="L24" s="156">
        <f t="shared" si="105"/>
        <v>859223.97052160103</v>
      </c>
      <c r="M24" s="157">
        <f t="shared" si="106"/>
        <v>0.5058644975860116</v>
      </c>
      <c r="N24" s="158" t="s">
        <v>8</v>
      </c>
      <c r="O24" s="159">
        <f t="shared" si="107"/>
        <v>-6.1366753299523624E-2</v>
      </c>
      <c r="P24" s="33">
        <f t="shared" si="179"/>
        <v>0</v>
      </c>
      <c r="Q24" s="160">
        <f t="shared" si="108"/>
        <v>0</v>
      </c>
      <c r="R24" s="171" t="s">
        <v>8</v>
      </c>
      <c r="S24" s="158" t="s">
        <v>8</v>
      </c>
      <c r="T24" s="161">
        <f t="shared" si="229"/>
        <v>0.5058644975860116</v>
      </c>
      <c r="U24" s="159">
        <f t="shared" si="230"/>
        <v>5.8444283928818952E-2</v>
      </c>
      <c r="V24" s="52">
        <f t="shared" si="180"/>
        <v>406040.82481910998</v>
      </c>
      <c r="W24" s="160">
        <f t="shared" si="231"/>
        <v>406040.82481910998</v>
      </c>
      <c r="X24" s="151" t="s">
        <v>8</v>
      </c>
      <c r="Y24" s="158" t="s">
        <v>8</v>
      </c>
      <c r="Z24" s="161">
        <f t="shared" si="232"/>
        <v>0.60132263550478982</v>
      </c>
      <c r="AA24" s="159">
        <f t="shared" si="233"/>
        <v>4.3579069712966989E-2</v>
      </c>
      <c r="AB24" s="52">
        <f t="shared" si="181"/>
        <v>326829.96035030246</v>
      </c>
      <c r="AC24" s="160">
        <f t="shared" si="234"/>
        <v>326829.96035030246</v>
      </c>
      <c r="AD24" s="151" t="s">
        <v>8</v>
      </c>
      <c r="AE24" s="158" t="s">
        <v>8</v>
      </c>
      <c r="AF24" s="161">
        <f t="shared" si="235"/>
        <v>0.67815870105314158</v>
      </c>
      <c r="AG24" s="159">
        <f t="shared" si="236"/>
        <v>2.8255319645963062E-2</v>
      </c>
      <c r="AH24" s="52">
        <f t="shared" si="182"/>
        <v>223177.05681534472</v>
      </c>
      <c r="AI24" s="160">
        <f t="shared" si="237"/>
        <v>223177.05681534472</v>
      </c>
      <c r="AJ24" s="151" t="s">
        <v>8</v>
      </c>
      <c r="AK24" s="158" t="s">
        <v>8</v>
      </c>
      <c r="AL24" s="161">
        <f t="shared" si="238"/>
        <v>0.73062649485017439</v>
      </c>
      <c r="AM24" s="159">
        <f t="shared" si="239"/>
        <v>2.1534271210749911E-2</v>
      </c>
      <c r="AN24" s="52">
        <f t="shared" si="183"/>
        <v>176817.10871494652</v>
      </c>
      <c r="AO24" s="160">
        <f t="shared" si="240"/>
        <v>176817.10871494652</v>
      </c>
      <c r="AP24" s="151" t="s">
        <v>8</v>
      </c>
      <c r="AQ24" s="158" t="s">
        <v>8</v>
      </c>
      <c r="AR24" s="161">
        <f t="shared" si="241"/>
        <v>0.77219530005007098</v>
      </c>
      <c r="AS24" s="159">
        <f t="shared" si="242"/>
        <v>1.2928946404120012E-2</v>
      </c>
      <c r="AT24" s="52">
        <f t="shared" si="184"/>
        <v>108903.61317229744</v>
      </c>
      <c r="AU24" s="160">
        <f t="shared" si="243"/>
        <v>108903.61317229744</v>
      </c>
      <c r="AV24" s="151" t="s">
        <v>8</v>
      </c>
      <c r="AW24" s="158" t="s">
        <v>8</v>
      </c>
      <c r="AX24" s="161">
        <f t="shared" si="244"/>
        <v>0.79779798699832483</v>
      </c>
      <c r="AY24" s="159">
        <f t="shared" si="245"/>
        <v>1.2689081709453043E-2</v>
      </c>
      <c r="AZ24" s="52">
        <f t="shared" si="185"/>
        <v>109127.25918022759</v>
      </c>
      <c r="BA24" s="160">
        <f t="shared" si="246"/>
        <v>109127.25918022759</v>
      </c>
      <c r="BB24" s="151" t="s">
        <v>8</v>
      </c>
      <c r="BC24" s="158" t="s">
        <v>8</v>
      </c>
      <c r="BD24" s="161">
        <f t="shared" si="247"/>
        <v>0.82345325198840369</v>
      </c>
      <c r="BE24" s="159">
        <f t="shared" si="248"/>
        <v>8.9725973121491664E-3</v>
      </c>
      <c r="BF24" s="52">
        <f t="shared" si="186"/>
        <v>78446.799773798601</v>
      </c>
      <c r="BG24" s="160">
        <f t="shared" si="249"/>
        <v>78446.799773798601</v>
      </c>
      <c r="BH24" s="151" t="s">
        <v>8</v>
      </c>
      <c r="BI24" s="158" t="s">
        <v>8</v>
      </c>
      <c r="BJ24" s="161">
        <f t="shared" si="250"/>
        <v>0.84189569662541786</v>
      </c>
      <c r="BK24" s="159">
        <f t="shared" si="251"/>
        <v>1.0382060515669367E-2</v>
      </c>
      <c r="BL24" s="52">
        <f t="shared" si="187"/>
        <v>92198.767754603279</v>
      </c>
      <c r="BM24" s="160">
        <f t="shared" si="252"/>
        <v>92198.767754603279</v>
      </c>
      <c r="BN24" s="151" t="s">
        <v>8</v>
      </c>
      <c r="BO24" s="158" t="s">
        <v>8</v>
      </c>
      <c r="BP24" s="161">
        <f t="shared" si="253"/>
        <v>0.86357115916586857</v>
      </c>
      <c r="BQ24" s="159">
        <f t="shared" si="254"/>
        <v>6.3753091778524507E-3</v>
      </c>
      <c r="BR24" s="52">
        <f t="shared" si="188"/>
        <v>57355.359550269779</v>
      </c>
      <c r="BS24" s="162">
        <f t="shared" si="255"/>
        <v>10385.424107360233</v>
      </c>
      <c r="BT24" s="151" t="s">
        <v>8</v>
      </c>
      <c r="BU24" s="158" t="s">
        <v>8</v>
      </c>
      <c r="BV24" s="161">
        <f t="shared" si="256"/>
        <v>0.86601271968438798</v>
      </c>
      <c r="BW24" s="159">
        <f t="shared" si="257"/>
        <v>6.81566398547373E-3</v>
      </c>
      <c r="BX24" s="52">
        <f t="shared" si="190"/>
        <v>61454.480148952782</v>
      </c>
      <c r="BY24" s="162">
        <f t="shared" si="258"/>
        <v>0</v>
      </c>
      <c r="BZ24" s="151" t="s">
        <v>8</v>
      </c>
      <c r="CA24" s="158" t="s">
        <v>8</v>
      </c>
      <c r="CB24" s="161">
        <f t="shared" si="259"/>
        <v>0.86601271968438798</v>
      </c>
      <c r="CC24" s="159">
        <f t="shared" si="260"/>
        <v>6.81566398547373E-3</v>
      </c>
      <c r="CD24" s="52">
        <f t="shared" si="192"/>
        <v>61454.480148952782</v>
      </c>
      <c r="CE24" s="162">
        <f t="shared" si="261"/>
        <v>0</v>
      </c>
      <c r="CF24" s="151" t="s">
        <v>8</v>
      </c>
      <c r="CG24" s="158" t="s">
        <v>8</v>
      </c>
      <c r="CH24" s="161">
        <f t="shared" si="262"/>
        <v>0.86601271968438798</v>
      </c>
      <c r="CI24" s="159">
        <f t="shared" si="263"/>
        <v>6.81566398547373E-3</v>
      </c>
      <c r="CJ24" s="52">
        <f t="shared" si="193"/>
        <v>61454.480148952782</v>
      </c>
      <c r="CK24" s="162">
        <f t="shared" si="264"/>
        <v>0</v>
      </c>
      <c r="CL24" s="151" t="s">
        <v>8</v>
      </c>
      <c r="CM24" s="158" t="s">
        <v>8</v>
      </c>
      <c r="CN24" s="161">
        <f t="shared" si="265"/>
        <v>0.86601271968438798</v>
      </c>
      <c r="CO24" s="159">
        <f t="shared" si="266"/>
        <v>6.81566398547373E-3</v>
      </c>
      <c r="CP24" s="52">
        <f t="shared" si="195"/>
        <v>61454.480148952782</v>
      </c>
      <c r="CQ24" s="162">
        <f t="shared" si="267"/>
        <v>0</v>
      </c>
      <c r="CR24" s="151" t="s">
        <v>8</v>
      </c>
      <c r="CS24" s="158" t="s">
        <v>8</v>
      </c>
      <c r="CT24" s="161">
        <f t="shared" si="268"/>
        <v>0.86601271968438798</v>
      </c>
      <c r="CU24" s="159">
        <f t="shared" si="269"/>
        <v>6.81566398547373E-3</v>
      </c>
      <c r="CV24" s="52">
        <f t="shared" si="197"/>
        <v>61454.480148952782</v>
      </c>
      <c r="CW24" s="162">
        <f t="shared" si="270"/>
        <v>0</v>
      </c>
      <c r="CX24" s="151" t="s">
        <v>8</v>
      </c>
      <c r="CY24" s="158" t="s">
        <v>8</v>
      </c>
      <c r="CZ24" s="161">
        <f t="shared" si="271"/>
        <v>0.86601271968438798</v>
      </c>
      <c r="DA24" s="159">
        <f t="shared" si="272"/>
        <v>6.81566398547373E-3</v>
      </c>
      <c r="DB24" s="52">
        <f t="shared" si="199"/>
        <v>61454.480148952782</v>
      </c>
      <c r="DC24" s="162">
        <f t="shared" si="273"/>
        <v>0</v>
      </c>
      <c r="DD24" s="151" t="s">
        <v>8</v>
      </c>
      <c r="DE24" s="158" t="s">
        <v>8</v>
      </c>
      <c r="DF24" s="161">
        <f t="shared" si="274"/>
        <v>0.86601271968438798</v>
      </c>
      <c r="DG24" s="159">
        <f t="shared" si="275"/>
        <v>6.81566398547373E-3</v>
      </c>
      <c r="DH24" s="52">
        <f t="shared" si="201"/>
        <v>61454.480148952782</v>
      </c>
      <c r="DI24" s="162">
        <f t="shared" si="276"/>
        <v>0</v>
      </c>
      <c r="DJ24" s="151" t="s">
        <v>8</v>
      </c>
      <c r="DK24" s="158" t="s">
        <v>8</v>
      </c>
      <c r="DL24" s="161">
        <f t="shared" si="277"/>
        <v>0.86601271968438798</v>
      </c>
      <c r="DM24" s="159">
        <f t="shared" si="278"/>
        <v>6.81566398547373E-3</v>
      </c>
      <c r="DN24" s="52">
        <f t="shared" si="203"/>
        <v>61454.480148952782</v>
      </c>
      <c r="DO24" s="162">
        <f t="shared" si="279"/>
        <v>0</v>
      </c>
      <c r="DP24" s="151" t="s">
        <v>8</v>
      </c>
      <c r="DQ24" s="158" t="s">
        <v>8</v>
      </c>
      <c r="DR24" s="161">
        <f t="shared" si="280"/>
        <v>0.86601271968438798</v>
      </c>
      <c r="DS24" s="159">
        <f t="shared" si="281"/>
        <v>6.81566398547373E-3</v>
      </c>
      <c r="DT24" s="52">
        <f t="shared" si="205"/>
        <v>61454.480148952782</v>
      </c>
      <c r="DU24" s="162">
        <f t="shared" si="282"/>
        <v>0</v>
      </c>
      <c r="DV24" s="151" t="s">
        <v>8</v>
      </c>
      <c r="DW24" s="158" t="s">
        <v>8</v>
      </c>
      <c r="DX24" s="34">
        <f t="shared" si="206"/>
        <v>0.86601271968438798</v>
      </c>
      <c r="DY24" s="159">
        <f t="shared" si="283"/>
        <v>6.81566398547373E-3</v>
      </c>
      <c r="DZ24" s="33">
        <f t="shared" si="207"/>
        <v>61454.480148952782</v>
      </c>
      <c r="EA24" s="160">
        <f t="shared" si="284"/>
        <v>0</v>
      </c>
      <c r="EB24" s="151" t="s">
        <v>8</v>
      </c>
      <c r="EC24" s="158" t="s">
        <v>8</v>
      </c>
      <c r="ED24" s="34">
        <f t="shared" si="208"/>
        <v>0.86601271968438798</v>
      </c>
      <c r="EE24" s="159">
        <f t="shared" si="157"/>
        <v>6.81566398547373E-3</v>
      </c>
      <c r="EF24" s="33">
        <f t="shared" si="209"/>
        <v>61454.480148952782</v>
      </c>
      <c r="EG24" s="160">
        <f t="shared" si="158"/>
        <v>0</v>
      </c>
      <c r="EH24" s="151" t="s">
        <v>8</v>
      </c>
      <c r="EI24" s="158" t="s">
        <v>8</v>
      </c>
      <c r="EJ24" s="34">
        <f t="shared" si="210"/>
        <v>0.86601271968438798</v>
      </c>
      <c r="EK24" s="159">
        <f t="shared" si="159"/>
        <v>6.81566398547373E-3</v>
      </c>
      <c r="EL24" s="33">
        <f t="shared" si="211"/>
        <v>61454.480148952782</v>
      </c>
      <c r="EM24" s="160">
        <f t="shared" si="160"/>
        <v>0</v>
      </c>
      <c r="EN24" s="151" t="s">
        <v>8</v>
      </c>
      <c r="EO24" s="158" t="s">
        <v>8</v>
      </c>
      <c r="EP24" s="34">
        <f t="shared" si="212"/>
        <v>0.86601271968438798</v>
      </c>
      <c r="EQ24" s="159">
        <f t="shared" si="161"/>
        <v>6.81566398547373E-3</v>
      </c>
      <c r="ER24" s="33">
        <f t="shared" si="213"/>
        <v>61454.480148952782</v>
      </c>
      <c r="ES24" s="160">
        <f t="shared" si="162"/>
        <v>0</v>
      </c>
      <c r="ET24" s="151" t="s">
        <v>8</v>
      </c>
      <c r="EU24" s="158" t="s">
        <v>8</v>
      </c>
      <c r="EV24" s="34">
        <f t="shared" si="214"/>
        <v>0.86601271968438798</v>
      </c>
      <c r="EW24" s="159">
        <f t="shared" si="163"/>
        <v>6.81566398547373E-3</v>
      </c>
      <c r="EX24" s="33">
        <f t="shared" si="215"/>
        <v>61454.480148952782</v>
      </c>
      <c r="EY24" s="160">
        <f t="shared" si="164"/>
        <v>0</v>
      </c>
      <c r="EZ24" s="151" t="s">
        <v>8</v>
      </c>
      <c r="FA24" s="158" t="s">
        <v>8</v>
      </c>
      <c r="FB24" s="34">
        <f t="shared" si="216"/>
        <v>0.86601271968438798</v>
      </c>
      <c r="FC24" s="159">
        <f t="shared" si="165"/>
        <v>6.81566398547373E-3</v>
      </c>
      <c r="FD24" s="33">
        <f t="shared" si="217"/>
        <v>61454.480148952782</v>
      </c>
      <c r="FE24" s="160">
        <f t="shared" si="166"/>
        <v>0</v>
      </c>
      <c r="FF24" s="151" t="s">
        <v>8</v>
      </c>
      <c r="FG24" s="158" t="s">
        <v>8</v>
      </c>
      <c r="FH24" s="34">
        <f t="shared" si="218"/>
        <v>0.86601271968438798</v>
      </c>
      <c r="FI24" s="159">
        <f t="shared" si="167"/>
        <v>6.81566398547373E-3</v>
      </c>
      <c r="FJ24" s="33">
        <f t="shared" si="219"/>
        <v>61454.480148952782</v>
      </c>
      <c r="FK24" s="160">
        <f t="shared" si="168"/>
        <v>0</v>
      </c>
      <c r="FL24" s="151" t="s">
        <v>8</v>
      </c>
      <c r="FM24" s="158" t="s">
        <v>8</v>
      </c>
      <c r="FN24" s="34">
        <f t="shared" si="220"/>
        <v>0.86601271968438798</v>
      </c>
      <c r="FO24" s="159">
        <f t="shared" si="169"/>
        <v>6.81566398547373E-3</v>
      </c>
      <c r="FP24" s="33">
        <f t="shared" si="221"/>
        <v>61454.480148952782</v>
      </c>
      <c r="FQ24" s="160">
        <f t="shared" si="170"/>
        <v>0</v>
      </c>
      <c r="FR24" s="151" t="s">
        <v>8</v>
      </c>
      <c r="FS24" s="158" t="s">
        <v>8</v>
      </c>
      <c r="FT24" s="34">
        <f t="shared" si="222"/>
        <v>0.86601271968438798</v>
      </c>
      <c r="FU24" s="159">
        <f t="shared" si="171"/>
        <v>6.81566398547373E-3</v>
      </c>
      <c r="FV24" s="33">
        <f t="shared" si="223"/>
        <v>61454.480148952782</v>
      </c>
      <c r="FW24" s="160">
        <f t="shared" si="172"/>
        <v>0</v>
      </c>
      <c r="FX24" s="151" t="s">
        <v>8</v>
      </c>
      <c r="FY24" s="158" t="s">
        <v>8</v>
      </c>
      <c r="FZ24" s="34">
        <f t="shared" si="224"/>
        <v>0.86601271968438798</v>
      </c>
      <c r="GA24" s="159">
        <f t="shared" si="173"/>
        <v>6.81566398547373E-3</v>
      </c>
      <c r="GB24" s="33">
        <f t="shared" si="225"/>
        <v>61454.480148952782</v>
      </c>
      <c r="GC24" s="160">
        <f t="shared" si="174"/>
        <v>0</v>
      </c>
      <c r="GD24" s="151" t="s">
        <v>8</v>
      </c>
      <c r="GE24" s="158" t="s">
        <v>8</v>
      </c>
      <c r="GF24" s="34">
        <f t="shared" si="226"/>
        <v>0.86601271968438798</v>
      </c>
      <c r="GG24" s="159">
        <f t="shared" si="175"/>
        <v>6.81566398547373E-3</v>
      </c>
      <c r="GH24" s="33">
        <f t="shared" si="227"/>
        <v>61454.480148952782</v>
      </c>
      <c r="GI24" s="162">
        <f t="shared" si="176"/>
        <v>0</v>
      </c>
      <c r="GJ24" s="178">
        <f t="shared" si="228"/>
        <v>1531926.8146879904</v>
      </c>
      <c r="GK24" s="94">
        <f t="shared" si="177"/>
        <v>2391150.7852095915</v>
      </c>
      <c r="GL24" s="94">
        <v>2391150.79</v>
      </c>
      <c r="GM24" s="85">
        <f t="shared" si="178"/>
        <v>0.86601271968438787</v>
      </c>
    </row>
    <row r="25" spans="1:195" s="25" customFormat="1" x14ac:dyDescent="0.25">
      <c r="A25" s="243" t="s">
        <v>194</v>
      </c>
      <c r="B25" s="166" t="s">
        <v>8</v>
      </c>
      <c r="C25" s="166" t="s">
        <v>8</v>
      </c>
      <c r="D25" s="166" t="s">
        <v>8</v>
      </c>
      <c r="E25" s="166" t="s">
        <v>8</v>
      </c>
      <c r="F25" s="166" t="s">
        <v>8</v>
      </c>
      <c r="G25" s="152">
        <f>'Исходные данные'!C27</f>
        <v>536</v>
      </c>
      <c r="H25" s="349">
        <f>'Исходные данные'!D27</f>
        <v>819704.67</v>
      </c>
      <c r="I25" s="153">
        <f>'Расчет КРП'!G23</f>
        <v>4.3730564957015208</v>
      </c>
      <c r="J25" s="154" t="s">
        <v>8</v>
      </c>
      <c r="K25" s="155">
        <f t="shared" si="104"/>
        <v>0.26725370529929132</v>
      </c>
      <c r="L25" s="156">
        <f t="shared" si="105"/>
        <v>314150.10109111742</v>
      </c>
      <c r="M25" s="157">
        <f t="shared" si="106"/>
        <v>0.36967812913080145</v>
      </c>
      <c r="N25" s="158" t="s">
        <v>8</v>
      </c>
      <c r="O25" s="159">
        <f t="shared" si="107"/>
        <v>7.4819615155686525E-2</v>
      </c>
      <c r="P25" s="33">
        <f t="shared" si="179"/>
        <v>332269.17222681391</v>
      </c>
      <c r="Q25" s="160">
        <f t="shared" si="108"/>
        <v>332269.17222681391</v>
      </c>
      <c r="R25" s="171" t="s">
        <v>8</v>
      </c>
      <c r="S25" s="158" t="s">
        <v>8</v>
      </c>
      <c r="T25" s="161">
        <f t="shared" si="229"/>
        <v>0.4780100329057847</v>
      </c>
      <c r="U25" s="159">
        <f t="shared" si="230"/>
        <v>8.629874860904585E-2</v>
      </c>
      <c r="V25" s="52">
        <f t="shared" si="180"/>
        <v>432323.74446344771</v>
      </c>
      <c r="W25" s="160">
        <f t="shared" si="231"/>
        <v>432323.74446344771</v>
      </c>
      <c r="X25" s="151" t="s">
        <v>8</v>
      </c>
      <c r="Y25" s="158" t="s">
        <v>8</v>
      </c>
      <c r="Z25" s="161">
        <f t="shared" si="232"/>
        <v>0.61896338699210496</v>
      </c>
      <c r="AA25" s="159">
        <f t="shared" si="233"/>
        <v>2.5938318225651846E-2</v>
      </c>
      <c r="AB25" s="52">
        <f t="shared" si="181"/>
        <v>140269.30708024083</v>
      </c>
      <c r="AC25" s="160">
        <f t="shared" si="234"/>
        <v>140269.30708024083</v>
      </c>
      <c r="AD25" s="151" t="s">
        <v>8</v>
      </c>
      <c r="AE25" s="158" t="s">
        <v>8</v>
      </c>
      <c r="AF25" s="161">
        <f t="shared" si="235"/>
        <v>0.66469631182338418</v>
      </c>
      <c r="AG25" s="159">
        <f t="shared" si="236"/>
        <v>4.1717708875720461E-2</v>
      </c>
      <c r="AH25" s="52">
        <f t="shared" si="182"/>
        <v>237600.14514997249</v>
      </c>
      <c r="AI25" s="160">
        <f t="shared" si="237"/>
        <v>237600.14514997249</v>
      </c>
      <c r="AJ25" s="151" t="s">
        <v>8</v>
      </c>
      <c r="AK25" s="158" t="s">
        <v>8</v>
      </c>
      <c r="AL25" s="161">
        <f t="shared" si="238"/>
        <v>0.742162649999766</v>
      </c>
      <c r="AM25" s="159">
        <f t="shared" si="239"/>
        <v>9.998116061158302E-3</v>
      </c>
      <c r="AN25" s="52">
        <f t="shared" si="183"/>
        <v>59195.570649142333</v>
      </c>
      <c r="AO25" s="160">
        <f t="shared" si="240"/>
        <v>59195.570649142333</v>
      </c>
      <c r="AP25" s="151" t="s">
        <v>8</v>
      </c>
      <c r="AQ25" s="158" t="s">
        <v>8</v>
      </c>
      <c r="AR25" s="161">
        <f t="shared" si="241"/>
        <v>0.76146257126688444</v>
      </c>
      <c r="AS25" s="159">
        <f t="shared" si="242"/>
        <v>2.3661675187306552E-2</v>
      </c>
      <c r="AT25" s="52">
        <f t="shared" si="184"/>
        <v>143714.8260052464</v>
      </c>
      <c r="AU25" s="160">
        <f t="shared" si="243"/>
        <v>143714.8260052464</v>
      </c>
      <c r="AV25" s="151" t="s">
        <v>8</v>
      </c>
      <c r="AW25" s="158" t="s">
        <v>8</v>
      </c>
      <c r="AX25" s="161">
        <f t="shared" si="244"/>
        <v>0.80831886129673769</v>
      </c>
      <c r="AY25" s="159">
        <f t="shared" si="245"/>
        <v>2.1682074110401794E-3</v>
      </c>
      <c r="AZ25" s="52">
        <f t="shared" si="185"/>
        <v>13445.619272320819</v>
      </c>
      <c r="BA25" s="160">
        <f t="shared" si="246"/>
        <v>13445.619272320819</v>
      </c>
      <c r="BB25" s="151" t="s">
        <v>8</v>
      </c>
      <c r="BC25" s="158" t="s">
        <v>8</v>
      </c>
      <c r="BD25" s="161">
        <f t="shared" si="247"/>
        <v>0.81270262498881396</v>
      </c>
      <c r="BE25" s="159">
        <f t="shared" si="248"/>
        <v>1.9723224311738896E-2</v>
      </c>
      <c r="BF25" s="52">
        <f t="shared" si="186"/>
        <v>124340.29672319369</v>
      </c>
      <c r="BG25" s="160">
        <f t="shared" si="249"/>
        <v>124340.29672319369</v>
      </c>
      <c r="BH25" s="151" t="s">
        <v>8</v>
      </c>
      <c r="BI25" s="158" t="s">
        <v>8</v>
      </c>
      <c r="BJ25" s="161">
        <f t="shared" si="250"/>
        <v>0.85324210979775961</v>
      </c>
      <c r="BK25" s="159">
        <f t="shared" si="251"/>
        <v>-9.6435265667238479E-4</v>
      </c>
      <c r="BL25" s="52">
        <f t="shared" si="187"/>
        <v>0</v>
      </c>
      <c r="BM25" s="160">
        <f t="shared" si="252"/>
        <v>0</v>
      </c>
      <c r="BN25" s="151" t="s">
        <v>8</v>
      </c>
      <c r="BO25" s="158" t="s">
        <v>8</v>
      </c>
      <c r="BP25" s="161">
        <f t="shared" si="253"/>
        <v>0.85324210979775961</v>
      </c>
      <c r="BQ25" s="159">
        <f t="shared" si="254"/>
        <v>1.6704358545961417E-2</v>
      </c>
      <c r="BR25" s="52">
        <f t="shared" si="188"/>
        <v>108362.61826253016</v>
      </c>
      <c r="BS25" s="162">
        <f t="shared" si="255"/>
        <v>19621.387728447458</v>
      </c>
      <c r="BT25" s="151" t="s">
        <v>8</v>
      </c>
      <c r="BU25" s="158" t="s">
        <v>8</v>
      </c>
      <c r="BV25" s="161">
        <f t="shared" si="256"/>
        <v>0.85963939990169624</v>
      </c>
      <c r="BW25" s="159">
        <f t="shared" si="257"/>
        <v>1.3188983768165463E-2</v>
      </c>
      <c r="BX25" s="52">
        <f t="shared" si="190"/>
        <v>85749.904084625989</v>
      </c>
      <c r="BY25" s="162">
        <f t="shared" si="258"/>
        <v>0</v>
      </c>
      <c r="BZ25" s="151" t="s">
        <v>8</v>
      </c>
      <c r="CA25" s="158" t="s">
        <v>8</v>
      </c>
      <c r="CB25" s="161">
        <f t="shared" si="259"/>
        <v>0.85963939990169624</v>
      </c>
      <c r="CC25" s="159">
        <f t="shared" si="260"/>
        <v>1.3188983768165463E-2</v>
      </c>
      <c r="CD25" s="52">
        <f t="shared" si="192"/>
        <v>85749.904084625989</v>
      </c>
      <c r="CE25" s="162">
        <f t="shared" si="261"/>
        <v>0</v>
      </c>
      <c r="CF25" s="151" t="s">
        <v>8</v>
      </c>
      <c r="CG25" s="158" t="s">
        <v>8</v>
      </c>
      <c r="CH25" s="161">
        <f t="shared" si="262"/>
        <v>0.85963939990169624</v>
      </c>
      <c r="CI25" s="159">
        <f t="shared" si="263"/>
        <v>1.3188983768165463E-2</v>
      </c>
      <c r="CJ25" s="52">
        <f t="shared" si="193"/>
        <v>85749.904084625989</v>
      </c>
      <c r="CK25" s="162">
        <f t="shared" si="264"/>
        <v>0</v>
      </c>
      <c r="CL25" s="151" t="s">
        <v>8</v>
      </c>
      <c r="CM25" s="158" t="s">
        <v>8</v>
      </c>
      <c r="CN25" s="161">
        <f t="shared" si="265"/>
        <v>0.85963939990169624</v>
      </c>
      <c r="CO25" s="159">
        <f t="shared" si="266"/>
        <v>1.3188983768165463E-2</v>
      </c>
      <c r="CP25" s="52">
        <f t="shared" si="195"/>
        <v>85749.904084625989</v>
      </c>
      <c r="CQ25" s="162">
        <f t="shared" si="267"/>
        <v>0</v>
      </c>
      <c r="CR25" s="151" t="s">
        <v>8</v>
      </c>
      <c r="CS25" s="158" t="s">
        <v>8</v>
      </c>
      <c r="CT25" s="161">
        <f t="shared" si="268"/>
        <v>0.85963939990169624</v>
      </c>
      <c r="CU25" s="159">
        <f t="shared" si="269"/>
        <v>1.3188983768165463E-2</v>
      </c>
      <c r="CV25" s="52">
        <f t="shared" si="197"/>
        <v>85749.904084625989</v>
      </c>
      <c r="CW25" s="162">
        <f t="shared" si="270"/>
        <v>0</v>
      </c>
      <c r="CX25" s="151" t="s">
        <v>8</v>
      </c>
      <c r="CY25" s="158" t="s">
        <v>8</v>
      </c>
      <c r="CZ25" s="161">
        <f t="shared" si="271"/>
        <v>0.85963939990169624</v>
      </c>
      <c r="DA25" s="159">
        <f t="shared" si="272"/>
        <v>1.3188983768165463E-2</v>
      </c>
      <c r="DB25" s="52">
        <f t="shared" si="199"/>
        <v>85749.904084625989</v>
      </c>
      <c r="DC25" s="162">
        <f t="shared" si="273"/>
        <v>0</v>
      </c>
      <c r="DD25" s="151" t="s">
        <v>8</v>
      </c>
      <c r="DE25" s="158" t="s">
        <v>8</v>
      </c>
      <c r="DF25" s="161">
        <f t="shared" si="274"/>
        <v>0.85963939990169624</v>
      </c>
      <c r="DG25" s="159">
        <f t="shared" si="275"/>
        <v>1.3188983768165463E-2</v>
      </c>
      <c r="DH25" s="52">
        <f t="shared" si="201"/>
        <v>85749.904084625989</v>
      </c>
      <c r="DI25" s="162">
        <f t="shared" si="276"/>
        <v>0</v>
      </c>
      <c r="DJ25" s="151" t="s">
        <v>8</v>
      </c>
      <c r="DK25" s="158" t="s">
        <v>8</v>
      </c>
      <c r="DL25" s="161">
        <f t="shared" si="277"/>
        <v>0.85963939990169624</v>
      </c>
      <c r="DM25" s="159">
        <f t="shared" si="278"/>
        <v>1.3188983768165463E-2</v>
      </c>
      <c r="DN25" s="52">
        <f t="shared" si="203"/>
        <v>85749.904084625989</v>
      </c>
      <c r="DO25" s="162">
        <f t="shared" si="279"/>
        <v>0</v>
      </c>
      <c r="DP25" s="151" t="s">
        <v>8</v>
      </c>
      <c r="DQ25" s="158" t="s">
        <v>8</v>
      </c>
      <c r="DR25" s="161">
        <f t="shared" si="280"/>
        <v>0.85963939990169624</v>
      </c>
      <c r="DS25" s="159">
        <f t="shared" si="281"/>
        <v>1.3188983768165463E-2</v>
      </c>
      <c r="DT25" s="52">
        <f t="shared" si="205"/>
        <v>85749.904084625989</v>
      </c>
      <c r="DU25" s="162">
        <f t="shared" si="282"/>
        <v>0</v>
      </c>
      <c r="DV25" s="151" t="s">
        <v>8</v>
      </c>
      <c r="DW25" s="158" t="s">
        <v>8</v>
      </c>
      <c r="DX25" s="34">
        <f t="shared" si="206"/>
        <v>0.85963939990169624</v>
      </c>
      <c r="DY25" s="159">
        <f t="shared" si="283"/>
        <v>1.3188983768165463E-2</v>
      </c>
      <c r="DZ25" s="33">
        <f t="shared" si="207"/>
        <v>85749.904084625989</v>
      </c>
      <c r="EA25" s="160">
        <f t="shared" si="284"/>
        <v>0</v>
      </c>
      <c r="EB25" s="151" t="s">
        <v>8</v>
      </c>
      <c r="EC25" s="158" t="s">
        <v>8</v>
      </c>
      <c r="ED25" s="34">
        <f t="shared" si="208"/>
        <v>0.85963939990169624</v>
      </c>
      <c r="EE25" s="159">
        <f t="shared" si="157"/>
        <v>1.3188983768165463E-2</v>
      </c>
      <c r="EF25" s="33">
        <f t="shared" si="209"/>
        <v>85749.904084625989</v>
      </c>
      <c r="EG25" s="160">
        <f t="shared" si="158"/>
        <v>0</v>
      </c>
      <c r="EH25" s="151" t="s">
        <v>8</v>
      </c>
      <c r="EI25" s="158" t="s">
        <v>8</v>
      </c>
      <c r="EJ25" s="34">
        <f t="shared" si="210"/>
        <v>0.85963939990169624</v>
      </c>
      <c r="EK25" s="159">
        <f t="shared" si="159"/>
        <v>1.3188983768165463E-2</v>
      </c>
      <c r="EL25" s="33">
        <f t="shared" si="211"/>
        <v>85749.904084625989</v>
      </c>
      <c r="EM25" s="160">
        <f t="shared" si="160"/>
        <v>0</v>
      </c>
      <c r="EN25" s="151" t="s">
        <v>8</v>
      </c>
      <c r="EO25" s="158" t="s">
        <v>8</v>
      </c>
      <c r="EP25" s="34">
        <f t="shared" si="212"/>
        <v>0.85963939990169624</v>
      </c>
      <c r="EQ25" s="159">
        <f t="shared" si="161"/>
        <v>1.3188983768165463E-2</v>
      </c>
      <c r="ER25" s="33">
        <f t="shared" si="213"/>
        <v>85749.904084625989</v>
      </c>
      <c r="ES25" s="160">
        <f t="shared" si="162"/>
        <v>0</v>
      </c>
      <c r="ET25" s="151" t="s">
        <v>8</v>
      </c>
      <c r="EU25" s="158" t="s">
        <v>8</v>
      </c>
      <c r="EV25" s="34">
        <f t="shared" si="214"/>
        <v>0.85963939990169624</v>
      </c>
      <c r="EW25" s="159">
        <f t="shared" si="163"/>
        <v>1.3188983768165463E-2</v>
      </c>
      <c r="EX25" s="33">
        <f t="shared" si="215"/>
        <v>85749.904084625989</v>
      </c>
      <c r="EY25" s="160">
        <f t="shared" si="164"/>
        <v>0</v>
      </c>
      <c r="EZ25" s="151" t="s">
        <v>8</v>
      </c>
      <c r="FA25" s="158" t="s">
        <v>8</v>
      </c>
      <c r="FB25" s="34">
        <f t="shared" si="216"/>
        <v>0.85963939990169624</v>
      </c>
      <c r="FC25" s="159">
        <f t="shared" si="165"/>
        <v>1.3188983768165463E-2</v>
      </c>
      <c r="FD25" s="33">
        <f t="shared" si="217"/>
        <v>85749.904084625989</v>
      </c>
      <c r="FE25" s="160">
        <f t="shared" si="166"/>
        <v>0</v>
      </c>
      <c r="FF25" s="151" t="s">
        <v>8</v>
      </c>
      <c r="FG25" s="158" t="s">
        <v>8</v>
      </c>
      <c r="FH25" s="34">
        <f t="shared" si="218"/>
        <v>0.85963939990169624</v>
      </c>
      <c r="FI25" s="159">
        <f t="shared" si="167"/>
        <v>1.3188983768165463E-2</v>
      </c>
      <c r="FJ25" s="33">
        <f t="shared" si="219"/>
        <v>85749.904084625989</v>
      </c>
      <c r="FK25" s="160">
        <f t="shared" si="168"/>
        <v>0</v>
      </c>
      <c r="FL25" s="151" t="s">
        <v>8</v>
      </c>
      <c r="FM25" s="158" t="s">
        <v>8</v>
      </c>
      <c r="FN25" s="34">
        <f t="shared" si="220"/>
        <v>0.85963939990169624</v>
      </c>
      <c r="FO25" s="159">
        <f t="shared" si="169"/>
        <v>1.3188983768165463E-2</v>
      </c>
      <c r="FP25" s="33">
        <f t="shared" si="221"/>
        <v>85749.904084625989</v>
      </c>
      <c r="FQ25" s="160">
        <f t="shared" si="170"/>
        <v>0</v>
      </c>
      <c r="FR25" s="151" t="s">
        <v>8</v>
      </c>
      <c r="FS25" s="158" t="s">
        <v>8</v>
      </c>
      <c r="FT25" s="34">
        <f t="shared" si="222"/>
        <v>0.85963939990169624</v>
      </c>
      <c r="FU25" s="159">
        <f t="shared" si="171"/>
        <v>1.3188983768165463E-2</v>
      </c>
      <c r="FV25" s="33">
        <f t="shared" si="223"/>
        <v>85749.904084625989</v>
      </c>
      <c r="FW25" s="160">
        <f t="shared" si="172"/>
        <v>0</v>
      </c>
      <c r="FX25" s="151" t="s">
        <v>8</v>
      </c>
      <c r="FY25" s="158" t="s">
        <v>8</v>
      </c>
      <c r="FZ25" s="34">
        <f t="shared" si="224"/>
        <v>0.85963939990169624</v>
      </c>
      <c r="GA25" s="159">
        <f t="shared" si="173"/>
        <v>1.3188983768165463E-2</v>
      </c>
      <c r="GB25" s="33">
        <f t="shared" si="225"/>
        <v>85749.904084625989</v>
      </c>
      <c r="GC25" s="160">
        <f t="shared" si="174"/>
        <v>0</v>
      </c>
      <c r="GD25" s="151" t="s">
        <v>8</v>
      </c>
      <c r="GE25" s="158" t="s">
        <v>8</v>
      </c>
      <c r="GF25" s="34">
        <f t="shared" si="226"/>
        <v>0.85963939990169624</v>
      </c>
      <c r="GG25" s="159">
        <f t="shared" si="175"/>
        <v>1.3188983768165463E-2</v>
      </c>
      <c r="GH25" s="33">
        <f t="shared" si="227"/>
        <v>85749.904084625989</v>
      </c>
      <c r="GI25" s="162">
        <f t="shared" si="176"/>
        <v>0</v>
      </c>
      <c r="GJ25" s="178">
        <f t="shared" si="228"/>
        <v>1502780.0692988257</v>
      </c>
      <c r="GK25" s="94">
        <f t="shared" si="177"/>
        <v>1816930.1703899431</v>
      </c>
      <c r="GL25" s="94">
        <v>1816930.17</v>
      </c>
      <c r="GM25" s="85">
        <f t="shared" si="178"/>
        <v>0.85963939990169624</v>
      </c>
    </row>
    <row r="26" spans="1:195" s="1" customFormat="1" x14ac:dyDescent="0.25">
      <c r="A26" s="243" t="s">
        <v>195</v>
      </c>
      <c r="B26" s="265" t="s">
        <v>8</v>
      </c>
      <c r="C26" s="265" t="s">
        <v>8</v>
      </c>
      <c r="D26" s="265" t="s">
        <v>8</v>
      </c>
      <c r="E26" s="265" t="s">
        <v>8</v>
      </c>
      <c r="F26" s="265" t="s">
        <v>8</v>
      </c>
      <c r="G26" s="266">
        <f>'Исходные данные'!C28</f>
        <v>5433</v>
      </c>
      <c r="H26" s="350">
        <f>'Исходные данные'!D28</f>
        <v>14626778.25</v>
      </c>
      <c r="I26" s="267">
        <f>'Расчет КРП'!G24</f>
        <v>1.1611111111111112</v>
      </c>
      <c r="J26" s="268" t="s">
        <v>8</v>
      </c>
      <c r="K26" s="155">
        <f t="shared" si="104"/>
        <v>1.7719497216166797</v>
      </c>
      <c r="L26" s="156">
        <f t="shared" si="105"/>
        <v>3184286.379156793</v>
      </c>
      <c r="M26" s="269">
        <f t="shared" si="106"/>
        <v>2.157707628563458</v>
      </c>
      <c r="N26" s="270" t="s">
        <v>8</v>
      </c>
      <c r="O26" s="271">
        <f t="shared" si="107"/>
        <v>-1.7132098842769701</v>
      </c>
      <c r="P26" s="33"/>
      <c r="Q26" s="160"/>
      <c r="R26" s="272" t="s">
        <v>8</v>
      </c>
      <c r="S26" s="270" t="s">
        <v>8</v>
      </c>
      <c r="T26" s="273">
        <f t="shared" si="229"/>
        <v>2.157707628563458</v>
      </c>
      <c r="U26" s="271">
        <f t="shared" si="230"/>
        <v>-1.5933988470486273</v>
      </c>
      <c r="V26" s="52"/>
      <c r="W26" s="160"/>
      <c r="X26" s="41" t="s">
        <v>8</v>
      </c>
      <c r="Y26" s="270" t="s">
        <v>8</v>
      </c>
      <c r="Z26" s="273">
        <f t="shared" si="232"/>
        <v>2.157707628563458</v>
      </c>
      <c r="AA26" s="271">
        <f t="shared" si="233"/>
        <v>-1.5128059233457012</v>
      </c>
      <c r="AB26" s="52"/>
      <c r="AC26" s="160"/>
      <c r="AD26" s="41" t="s">
        <v>8</v>
      </c>
      <c r="AE26" s="270" t="s">
        <v>8</v>
      </c>
      <c r="AF26" s="273">
        <f t="shared" si="235"/>
        <v>2.157707628563458</v>
      </c>
      <c r="AG26" s="271">
        <f t="shared" si="236"/>
        <v>-1.4512936078643532</v>
      </c>
      <c r="AH26" s="52"/>
      <c r="AI26" s="160"/>
      <c r="AJ26" s="41" t="s">
        <v>8</v>
      </c>
      <c r="AK26" s="270" t="s">
        <v>8</v>
      </c>
      <c r="AL26" s="273">
        <f t="shared" si="238"/>
        <v>2.157707628563458</v>
      </c>
      <c r="AM26" s="271">
        <f t="shared" si="239"/>
        <v>-1.4055468625025336</v>
      </c>
      <c r="AN26" s="52"/>
      <c r="AO26" s="160"/>
      <c r="AP26" s="41" t="s">
        <v>8</v>
      </c>
      <c r="AQ26" s="270" t="s">
        <v>8</v>
      </c>
      <c r="AR26" s="273">
        <f t="shared" si="241"/>
        <v>2.157707628563458</v>
      </c>
      <c r="AS26" s="271">
        <f t="shared" si="242"/>
        <v>-1.372583382109267</v>
      </c>
      <c r="AT26" s="52"/>
      <c r="AU26" s="160"/>
      <c r="AV26" s="41" t="s">
        <v>8</v>
      </c>
      <c r="AW26" s="270" t="s">
        <v>8</v>
      </c>
      <c r="AX26" s="273">
        <f t="shared" si="244"/>
        <v>2.157707628563458</v>
      </c>
      <c r="AY26" s="271">
        <f t="shared" si="245"/>
        <v>-1.3472205598556801</v>
      </c>
      <c r="AZ26" s="52"/>
      <c r="BA26" s="160"/>
      <c r="BB26" s="41" t="s">
        <v>8</v>
      </c>
      <c r="BC26" s="270" t="s">
        <v>8</v>
      </c>
      <c r="BD26" s="273">
        <f t="shared" si="247"/>
        <v>2.157707628563458</v>
      </c>
      <c r="BE26" s="271">
        <f t="shared" si="248"/>
        <v>-1.3252817792629052</v>
      </c>
      <c r="BF26" s="52"/>
      <c r="BG26" s="160"/>
      <c r="BH26" s="41" t="s">
        <v>8</v>
      </c>
      <c r="BI26" s="270" t="s">
        <v>8</v>
      </c>
      <c r="BJ26" s="273">
        <f t="shared" si="250"/>
        <v>2.157707628563458</v>
      </c>
      <c r="BK26" s="271">
        <f t="shared" si="251"/>
        <v>-1.3054298714223709</v>
      </c>
      <c r="BL26" s="52"/>
      <c r="BM26" s="160"/>
      <c r="BN26" s="41" t="s">
        <v>8</v>
      </c>
      <c r="BO26" s="270" t="s">
        <v>8</v>
      </c>
      <c r="BP26" s="273">
        <f t="shared" si="253"/>
        <v>2.157707628563458</v>
      </c>
      <c r="BQ26" s="271">
        <f t="shared" si="254"/>
        <v>-1.287761160219737</v>
      </c>
      <c r="BR26" s="52"/>
      <c r="BS26" s="162"/>
      <c r="BT26" s="41" t="s">
        <v>8</v>
      </c>
      <c r="BU26" s="270" t="s">
        <v>8</v>
      </c>
      <c r="BV26" s="273">
        <f t="shared" si="256"/>
        <v>2.157707628563458</v>
      </c>
      <c r="BW26" s="271">
        <f t="shared" si="257"/>
        <v>-1.2848792448935962</v>
      </c>
      <c r="BX26" s="52"/>
      <c r="BY26" s="162"/>
      <c r="BZ26" s="41" t="s">
        <v>8</v>
      </c>
      <c r="CA26" s="270" t="s">
        <v>8</v>
      </c>
      <c r="CB26" s="273">
        <f t="shared" si="259"/>
        <v>2.157707628563458</v>
      </c>
      <c r="CC26" s="271">
        <f t="shared" si="260"/>
        <v>-1.2848792448935962</v>
      </c>
      <c r="CD26" s="52"/>
      <c r="CE26" s="162"/>
      <c r="CF26" s="41" t="s">
        <v>8</v>
      </c>
      <c r="CG26" s="270" t="s">
        <v>8</v>
      </c>
      <c r="CH26" s="273">
        <f t="shared" si="262"/>
        <v>2.157707628563458</v>
      </c>
      <c r="CI26" s="271">
        <f t="shared" si="263"/>
        <v>-1.2848792448935962</v>
      </c>
      <c r="CJ26" s="52"/>
      <c r="CK26" s="162"/>
      <c r="CL26" s="41" t="s">
        <v>8</v>
      </c>
      <c r="CM26" s="270" t="s">
        <v>8</v>
      </c>
      <c r="CN26" s="273">
        <f t="shared" si="265"/>
        <v>2.157707628563458</v>
      </c>
      <c r="CO26" s="271">
        <f t="shared" si="266"/>
        <v>-1.2848792448935962</v>
      </c>
      <c r="CP26" s="52"/>
      <c r="CQ26" s="162"/>
      <c r="CR26" s="41" t="s">
        <v>8</v>
      </c>
      <c r="CS26" s="270" t="s">
        <v>8</v>
      </c>
      <c r="CT26" s="273">
        <f t="shared" si="268"/>
        <v>2.157707628563458</v>
      </c>
      <c r="CU26" s="271">
        <f t="shared" si="269"/>
        <v>-1.2848792448935962</v>
      </c>
      <c r="CV26" s="52"/>
      <c r="CW26" s="162"/>
      <c r="CX26" s="41" t="s">
        <v>8</v>
      </c>
      <c r="CY26" s="270" t="s">
        <v>8</v>
      </c>
      <c r="CZ26" s="273">
        <f t="shared" si="271"/>
        <v>2.157707628563458</v>
      </c>
      <c r="DA26" s="271">
        <f t="shared" si="272"/>
        <v>-1.2848792448935962</v>
      </c>
      <c r="DB26" s="52"/>
      <c r="DC26" s="162"/>
      <c r="DD26" s="41" t="s">
        <v>8</v>
      </c>
      <c r="DE26" s="270" t="s">
        <v>8</v>
      </c>
      <c r="DF26" s="273">
        <f t="shared" si="274"/>
        <v>2.157707628563458</v>
      </c>
      <c r="DG26" s="271">
        <f t="shared" si="275"/>
        <v>-1.2848792448935962</v>
      </c>
      <c r="DH26" s="52"/>
      <c r="DI26" s="162"/>
      <c r="DJ26" s="41" t="s">
        <v>8</v>
      </c>
      <c r="DK26" s="270" t="s">
        <v>8</v>
      </c>
      <c r="DL26" s="273">
        <f t="shared" si="277"/>
        <v>2.157707628563458</v>
      </c>
      <c r="DM26" s="271">
        <f t="shared" si="278"/>
        <v>-1.2848792448935962</v>
      </c>
      <c r="DN26" s="52"/>
      <c r="DO26" s="162"/>
      <c r="DP26" s="41" t="s">
        <v>8</v>
      </c>
      <c r="DQ26" s="270" t="s">
        <v>8</v>
      </c>
      <c r="DR26" s="273">
        <f t="shared" si="280"/>
        <v>2.157707628563458</v>
      </c>
      <c r="DS26" s="271">
        <f t="shared" si="281"/>
        <v>-1.2848792448935962</v>
      </c>
      <c r="DT26" s="52"/>
      <c r="DU26" s="162"/>
      <c r="DV26" s="41" t="s">
        <v>8</v>
      </c>
      <c r="DW26" s="270" t="s">
        <v>8</v>
      </c>
      <c r="DX26" s="274">
        <f t="shared" si="206"/>
        <v>2.157707628563458</v>
      </c>
      <c r="DY26" s="271">
        <f t="shared" si="283"/>
        <v>-1.2848792448935962</v>
      </c>
      <c r="DZ26" s="33"/>
      <c r="EA26" s="160"/>
      <c r="EB26" s="41" t="s">
        <v>8</v>
      </c>
      <c r="EC26" s="270" t="s">
        <v>8</v>
      </c>
      <c r="ED26" s="274">
        <f t="shared" si="208"/>
        <v>2.157707628563458</v>
      </c>
      <c r="EE26" s="271">
        <f t="shared" si="157"/>
        <v>-1.2848792448935962</v>
      </c>
      <c r="EF26" s="33"/>
      <c r="EG26" s="160"/>
      <c r="EH26" s="41" t="s">
        <v>8</v>
      </c>
      <c r="EI26" s="270" t="s">
        <v>8</v>
      </c>
      <c r="EJ26" s="274">
        <f t="shared" si="210"/>
        <v>2.157707628563458</v>
      </c>
      <c r="EK26" s="271">
        <f t="shared" si="159"/>
        <v>-1.2848792448935962</v>
      </c>
      <c r="EL26" s="33"/>
      <c r="EM26" s="160"/>
      <c r="EN26" s="41" t="s">
        <v>8</v>
      </c>
      <c r="EO26" s="270" t="s">
        <v>8</v>
      </c>
      <c r="EP26" s="274">
        <f t="shared" si="212"/>
        <v>2.157707628563458</v>
      </c>
      <c r="EQ26" s="271">
        <f t="shared" si="161"/>
        <v>-1.2848792448935962</v>
      </c>
      <c r="ER26" s="33"/>
      <c r="ES26" s="160"/>
      <c r="ET26" s="41" t="s">
        <v>8</v>
      </c>
      <c r="EU26" s="270" t="s">
        <v>8</v>
      </c>
      <c r="EV26" s="274">
        <f t="shared" si="214"/>
        <v>2.157707628563458</v>
      </c>
      <c r="EW26" s="271">
        <f t="shared" si="163"/>
        <v>-1.2848792448935962</v>
      </c>
      <c r="EX26" s="33"/>
      <c r="EY26" s="160"/>
      <c r="EZ26" s="41" t="s">
        <v>8</v>
      </c>
      <c r="FA26" s="270" t="s">
        <v>8</v>
      </c>
      <c r="FB26" s="274">
        <f t="shared" si="216"/>
        <v>2.157707628563458</v>
      </c>
      <c r="FC26" s="271">
        <f t="shared" si="165"/>
        <v>-1.2848792448935962</v>
      </c>
      <c r="FD26" s="33"/>
      <c r="FE26" s="160"/>
      <c r="FF26" s="41" t="s">
        <v>8</v>
      </c>
      <c r="FG26" s="270" t="s">
        <v>8</v>
      </c>
      <c r="FH26" s="274">
        <f t="shared" si="218"/>
        <v>2.157707628563458</v>
      </c>
      <c r="FI26" s="271">
        <f t="shared" si="167"/>
        <v>-1.2848792448935962</v>
      </c>
      <c r="FJ26" s="33"/>
      <c r="FK26" s="160"/>
      <c r="FL26" s="41" t="s">
        <v>8</v>
      </c>
      <c r="FM26" s="270" t="s">
        <v>8</v>
      </c>
      <c r="FN26" s="274">
        <f t="shared" si="220"/>
        <v>2.157707628563458</v>
      </c>
      <c r="FO26" s="271">
        <f t="shared" si="169"/>
        <v>-1.2848792448935962</v>
      </c>
      <c r="FP26" s="33"/>
      <c r="FQ26" s="160"/>
      <c r="FR26" s="41" t="s">
        <v>8</v>
      </c>
      <c r="FS26" s="270" t="s">
        <v>8</v>
      </c>
      <c r="FT26" s="274">
        <f t="shared" si="222"/>
        <v>2.157707628563458</v>
      </c>
      <c r="FU26" s="271">
        <f t="shared" si="171"/>
        <v>-1.2848792448935962</v>
      </c>
      <c r="FV26" s="33"/>
      <c r="FW26" s="160"/>
      <c r="FX26" s="41" t="s">
        <v>8</v>
      </c>
      <c r="FY26" s="270" t="s">
        <v>8</v>
      </c>
      <c r="FZ26" s="274">
        <f t="shared" si="224"/>
        <v>2.157707628563458</v>
      </c>
      <c r="GA26" s="271">
        <f t="shared" si="173"/>
        <v>-1.2848792448935962</v>
      </c>
      <c r="GB26" s="33"/>
      <c r="GC26" s="160"/>
      <c r="GD26" s="41" t="s">
        <v>8</v>
      </c>
      <c r="GE26" s="270" t="s">
        <v>8</v>
      </c>
      <c r="GF26" s="274">
        <f t="shared" si="226"/>
        <v>2.157707628563458</v>
      </c>
      <c r="GG26" s="271">
        <f t="shared" si="175"/>
        <v>-1.2848792448935962</v>
      </c>
      <c r="GH26" s="33"/>
      <c r="GI26" s="162"/>
      <c r="GJ26" s="178">
        <f t="shared" si="228"/>
        <v>0</v>
      </c>
      <c r="GK26" s="275">
        <f t="shared" si="177"/>
        <v>3184286.379156793</v>
      </c>
      <c r="GL26" s="275">
        <v>3184286.38</v>
      </c>
      <c r="GM26" s="85">
        <f t="shared" si="178"/>
        <v>2.1577076285634584</v>
      </c>
    </row>
    <row r="27" spans="1:195" s="1" customFormat="1" x14ac:dyDescent="0.25">
      <c r="A27" s="243" t="s">
        <v>196</v>
      </c>
      <c r="B27" s="265" t="s">
        <v>8</v>
      </c>
      <c r="C27" s="265" t="s">
        <v>8</v>
      </c>
      <c r="D27" s="265" t="s">
        <v>8</v>
      </c>
      <c r="E27" s="265" t="s">
        <v>8</v>
      </c>
      <c r="F27" s="265" t="s">
        <v>8</v>
      </c>
      <c r="G27" s="266">
        <f>'Исходные данные'!C29</f>
        <v>10913</v>
      </c>
      <c r="H27" s="350">
        <f>'Исходные данные'!D29</f>
        <v>17081918.870000001</v>
      </c>
      <c r="I27" s="267">
        <f>'Расчет КРП'!G25</f>
        <v>1.1611111111111112</v>
      </c>
      <c r="J27" s="268" t="s">
        <v>8</v>
      </c>
      <c r="K27" s="155">
        <f t="shared" si="104"/>
        <v>1.0302317315374168</v>
      </c>
      <c r="L27" s="156">
        <f t="shared" si="105"/>
        <v>6396119.5022525452</v>
      </c>
      <c r="M27" s="269">
        <f t="shared" si="106"/>
        <v>1.4159896384841952</v>
      </c>
      <c r="N27" s="270" t="s">
        <v>8</v>
      </c>
      <c r="O27" s="271">
        <f t="shared" si="107"/>
        <v>-0.97149189419770732</v>
      </c>
      <c r="P27" s="33"/>
      <c r="Q27" s="160"/>
      <c r="R27" s="272" t="s">
        <v>8</v>
      </c>
      <c r="S27" s="270" t="s">
        <v>8</v>
      </c>
      <c r="T27" s="273">
        <f t="shared" si="229"/>
        <v>1.4159896384841952</v>
      </c>
      <c r="U27" s="271">
        <f t="shared" si="230"/>
        <v>-0.85168085696936469</v>
      </c>
      <c r="V27" s="52"/>
      <c r="W27" s="160"/>
      <c r="X27" s="41" t="s">
        <v>8</v>
      </c>
      <c r="Y27" s="270" t="s">
        <v>8</v>
      </c>
      <c r="Z27" s="273">
        <f t="shared" si="232"/>
        <v>1.4159896384841952</v>
      </c>
      <c r="AA27" s="271">
        <f t="shared" si="233"/>
        <v>-0.77108793326643843</v>
      </c>
      <c r="AB27" s="52"/>
      <c r="AC27" s="160"/>
      <c r="AD27" s="41" t="s">
        <v>8</v>
      </c>
      <c r="AE27" s="270" t="s">
        <v>8</v>
      </c>
      <c r="AF27" s="273">
        <f t="shared" si="235"/>
        <v>1.4159896384841952</v>
      </c>
      <c r="AG27" s="271">
        <f t="shared" si="236"/>
        <v>-0.7095756177850906</v>
      </c>
      <c r="AH27" s="52"/>
      <c r="AI27" s="160"/>
      <c r="AJ27" s="41" t="s">
        <v>8</v>
      </c>
      <c r="AK27" s="270" t="s">
        <v>8</v>
      </c>
      <c r="AL27" s="273">
        <f t="shared" si="238"/>
        <v>1.4159896384841952</v>
      </c>
      <c r="AM27" s="271">
        <f t="shared" si="239"/>
        <v>-0.66382887242327093</v>
      </c>
      <c r="AN27" s="52"/>
      <c r="AO27" s="160"/>
      <c r="AP27" s="41" t="s">
        <v>8</v>
      </c>
      <c r="AQ27" s="270" t="s">
        <v>8</v>
      </c>
      <c r="AR27" s="273">
        <f t="shared" si="241"/>
        <v>1.4159896384841952</v>
      </c>
      <c r="AS27" s="271">
        <f t="shared" si="242"/>
        <v>-0.63086539203000425</v>
      </c>
      <c r="AT27" s="52"/>
      <c r="AU27" s="160"/>
      <c r="AV27" s="41" t="s">
        <v>8</v>
      </c>
      <c r="AW27" s="270" t="s">
        <v>8</v>
      </c>
      <c r="AX27" s="273">
        <f t="shared" si="244"/>
        <v>1.4159896384841952</v>
      </c>
      <c r="AY27" s="271">
        <f t="shared" si="245"/>
        <v>-0.60550256977641737</v>
      </c>
      <c r="AZ27" s="52"/>
      <c r="BA27" s="160"/>
      <c r="BB27" s="41" t="s">
        <v>8</v>
      </c>
      <c r="BC27" s="270" t="s">
        <v>8</v>
      </c>
      <c r="BD27" s="273">
        <f t="shared" si="247"/>
        <v>1.4159896384841952</v>
      </c>
      <c r="BE27" s="271">
        <f t="shared" si="248"/>
        <v>-0.58356378918364238</v>
      </c>
      <c r="BF27" s="52"/>
      <c r="BG27" s="160"/>
      <c r="BH27" s="41" t="s">
        <v>8</v>
      </c>
      <c r="BI27" s="270" t="s">
        <v>8</v>
      </c>
      <c r="BJ27" s="273">
        <f t="shared" si="250"/>
        <v>1.4159896384841952</v>
      </c>
      <c r="BK27" s="271">
        <f t="shared" si="251"/>
        <v>-0.56371188134310801</v>
      </c>
      <c r="BL27" s="52"/>
      <c r="BM27" s="160"/>
      <c r="BN27" s="41" t="s">
        <v>8</v>
      </c>
      <c r="BO27" s="270" t="s">
        <v>8</v>
      </c>
      <c r="BP27" s="273">
        <f t="shared" si="253"/>
        <v>1.4159896384841952</v>
      </c>
      <c r="BQ27" s="271">
        <f t="shared" si="254"/>
        <v>-0.54604317014047421</v>
      </c>
      <c r="BR27" s="52"/>
      <c r="BS27" s="162"/>
      <c r="BT27" s="41" t="s">
        <v>8</v>
      </c>
      <c r="BU27" s="270" t="s">
        <v>8</v>
      </c>
      <c r="BV27" s="273">
        <f t="shared" si="256"/>
        <v>1.4159896384841952</v>
      </c>
      <c r="BW27" s="271">
        <f t="shared" si="257"/>
        <v>-0.54316125481433353</v>
      </c>
      <c r="BX27" s="52"/>
      <c r="BY27" s="162"/>
      <c r="BZ27" s="41" t="s">
        <v>8</v>
      </c>
      <c r="CA27" s="270" t="s">
        <v>8</v>
      </c>
      <c r="CB27" s="273">
        <f t="shared" si="259"/>
        <v>1.4159896384841952</v>
      </c>
      <c r="CC27" s="271">
        <f t="shared" si="260"/>
        <v>-0.54316125481433353</v>
      </c>
      <c r="CD27" s="52"/>
      <c r="CE27" s="162"/>
      <c r="CF27" s="41" t="s">
        <v>8</v>
      </c>
      <c r="CG27" s="270" t="s">
        <v>8</v>
      </c>
      <c r="CH27" s="273">
        <f t="shared" si="262"/>
        <v>1.4159896384841952</v>
      </c>
      <c r="CI27" s="271">
        <f t="shared" si="263"/>
        <v>-0.54316125481433353</v>
      </c>
      <c r="CJ27" s="52"/>
      <c r="CK27" s="162"/>
      <c r="CL27" s="41" t="s">
        <v>8</v>
      </c>
      <c r="CM27" s="270" t="s">
        <v>8</v>
      </c>
      <c r="CN27" s="273">
        <f t="shared" si="265"/>
        <v>1.4159896384841952</v>
      </c>
      <c r="CO27" s="271">
        <f t="shared" si="266"/>
        <v>-0.54316125481433353</v>
      </c>
      <c r="CP27" s="52"/>
      <c r="CQ27" s="162"/>
      <c r="CR27" s="41" t="s">
        <v>8</v>
      </c>
      <c r="CS27" s="270" t="s">
        <v>8</v>
      </c>
      <c r="CT27" s="273">
        <f t="shared" si="268"/>
        <v>1.4159896384841952</v>
      </c>
      <c r="CU27" s="271">
        <f t="shared" si="269"/>
        <v>-0.54316125481433353</v>
      </c>
      <c r="CV27" s="52"/>
      <c r="CW27" s="162"/>
      <c r="CX27" s="41" t="s">
        <v>8</v>
      </c>
      <c r="CY27" s="270" t="s">
        <v>8</v>
      </c>
      <c r="CZ27" s="273">
        <f t="shared" si="271"/>
        <v>1.4159896384841952</v>
      </c>
      <c r="DA27" s="271">
        <f t="shared" si="272"/>
        <v>-0.54316125481433353</v>
      </c>
      <c r="DB27" s="52"/>
      <c r="DC27" s="162"/>
      <c r="DD27" s="41" t="s">
        <v>8</v>
      </c>
      <c r="DE27" s="270" t="s">
        <v>8</v>
      </c>
      <c r="DF27" s="273">
        <f t="shared" si="274"/>
        <v>1.4159896384841952</v>
      </c>
      <c r="DG27" s="271">
        <f t="shared" si="275"/>
        <v>-0.54316125481433353</v>
      </c>
      <c r="DH27" s="52"/>
      <c r="DI27" s="162"/>
      <c r="DJ27" s="41" t="s">
        <v>8</v>
      </c>
      <c r="DK27" s="270" t="s">
        <v>8</v>
      </c>
      <c r="DL27" s="273">
        <f t="shared" si="277"/>
        <v>1.4159896384841952</v>
      </c>
      <c r="DM27" s="271">
        <f t="shared" si="278"/>
        <v>-0.54316125481433353</v>
      </c>
      <c r="DN27" s="52"/>
      <c r="DO27" s="162"/>
      <c r="DP27" s="41" t="s">
        <v>8</v>
      </c>
      <c r="DQ27" s="270" t="s">
        <v>8</v>
      </c>
      <c r="DR27" s="273">
        <f t="shared" si="280"/>
        <v>1.4159896384841952</v>
      </c>
      <c r="DS27" s="271">
        <f t="shared" si="281"/>
        <v>-0.54316125481433353</v>
      </c>
      <c r="DT27" s="52"/>
      <c r="DU27" s="162"/>
      <c r="DV27" s="41" t="s">
        <v>8</v>
      </c>
      <c r="DW27" s="270" t="s">
        <v>8</v>
      </c>
      <c r="DX27" s="274">
        <f t="shared" si="206"/>
        <v>1.4159896384841952</v>
      </c>
      <c r="DY27" s="271">
        <f t="shared" si="283"/>
        <v>-0.54316125481433353</v>
      </c>
      <c r="DZ27" s="33"/>
      <c r="EA27" s="160"/>
      <c r="EB27" s="41" t="s">
        <v>8</v>
      </c>
      <c r="EC27" s="270" t="s">
        <v>8</v>
      </c>
      <c r="ED27" s="274">
        <f t="shared" si="208"/>
        <v>1.4159896384841952</v>
      </c>
      <c r="EE27" s="271">
        <f t="shared" si="157"/>
        <v>-0.54316125481433353</v>
      </c>
      <c r="EF27" s="33"/>
      <c r="EG27" s="160"/>
      <c r="EH27" s="41" t="s">
        <v>8</v>
      </c>
      <c r="EI27" s="270" t="s">
        <v>8</v>
      </c>
      <c r="EJ27" s="274">
        <f t="shared" si="210"/>
        <v>1.4159896384841952</v>
      </c>
      <c r="EK27" s="271">
        <f t="shared" si="159"/>
        <v>-0.54316125481433353</v>
      </c>
      <c r="EL27" s="33"/>
      <c r="EM27" s="160"/>
      <c r="EN27" s="41" t="s">
        <v>8</v>
      </c>
      <c r="EO27" s="270" t="s">
        <v>8</v>
      </c>
      <c r="EP27" s="274">
        <f t="shared" si="212"/>
        <v>1.4159896384841952</v>
      </c>
      <c r="EQ27" s="271">
        <f t="shared" si="161"/>
        <v>-0.54316125481433353</v>
      </c>
      <c r="ER27" s="33"/>
      <c r="ES27" s="160"/>
      <c r="ET27" s="41" t="s">
        <v>8</v>
      </c>
      <c r="EU27" s="270" t="s">
        <v>8</v>
      </c>
      <c r="EV27" s="274">
        <f t="shared" si="214"/>
        <v>1.4159896384841952</v>
      </c>
      <c r="EW27" s="271">
        <f t="shared" si="163"/>
        <v>-0.54316125481433353</v>
      </c>
      <c r="EX27" s="33"/>
      <c r="EY27" s="160"/>
      <c r="EZ27" s="41" t="s">
        <v>8</v>
      </c>
      <c r="FA27" s="270" t="s">
        <v>8</v>
      </c>
      <c r="FB27" s="274">
        <f t="shared" si="216"/>
        <v>1.4159896384841952</v>
      </c>
      <c r="FC27" s="271">
        <f t="shared" si="165"/>
        <v>-0.54316125481433353</v>
      </c>
      <c r="FD27" s="33"/>
      <c r="FE27" s="160"/>
      <c r="FF27" s="41" t="s">
        <v>8</v>
      </c>
      <c r="FG27" s="270" t="s">
        <v>8</v>
      </c>
      <c r="FH27" s="274">
        <f t="shared" si="218"/>
        <v>1.4159896384841952</v>
      </c>
      <c r="FI27" s="271">
        <f t="shared" si="167"/>
        <v>-0.54316125481433353</v>
      </c>
      <c r="FJ27" s="33"/>
      <c r="FK27" s="160"/>
      <c r="FL27" s="41" t="s">
        <v>8</v>
      </c>
      <c r="FM27" s="270" t="s">
        <v>8</v>
      </c>
      <c r="FN27" s="274">
        <f t="shared" si="220"/>
        <v>1.4159896384841952</v>
      </c>
      <c r="FO27" s="271">
        <f t="shared" si="169"/>
        <v>-0.54316125481433353</v>
      </c>
      <c r="FP27" s="33"/>
      <c r="FQ27" s="160"/>
      <c r="FR27" s="41" t="s">
        <v>8</v>
      </c>
      <c r="FS27" s="270" t="s">
        <v>8</v>
      </c>
      <c r="FT27" s="274">
        <f t="shared" si="222"/>
        <v>1.4159896384841952</v>
      </c>
      <c r="FU27" s="271">
        <f t="shared" si="171"/>
        <v>-0.54316125481433353</v>
      </c>
      <c r="FV27" s="33"/>
      <c r="FW27" s="160"/>
      <c r="FX27" s="41" t="s">
        <v>8</v>
      </c>
      <c r="FY27" s="270" t="s">
        <v>8</v>
      </c>
      <c r="FZ27" s="274">
        <f t="shared" si="224"/>
        <v>1.4159896384841952</v>
      </c>
      <c r="GA27" s="271">
        <f t="shared" si="173"/>
        <v>-0.54316125481433353</v>
      </c>
      <c r="GB27" s="33"/>
      <c r="GC27" s="160"/>
      <c r="GD27" s="41" t="s">
        <v>8</v>
      </c>
      <c r="GE27" s="270" t="s">
        <v>8</v>
      </c>
      <c r="GF27" s="274">
        <f t="shared" si="226"/>
        <v>1.4159896384841952</v>
      </c>
      <c r="GG27" s="271">
        <f t="shared" si="175"/>
        <v>-0.54316125481433353</v>
      </c>
      <c r="GH27" s="33"/>
      <c r="GI27" s="162"/>
      <c r="GJ27" s="178">
        <f t="shared" si="228"/>
        <v>0</v>
      </c>
      <c r="GK27" s="275">
        <f t="shared" si="177"/>
        <v>6396119.5022525452</v>
      </c>
      <c r="GL27" s="275">
        <v>6396119.5</v>
      </c>
      <c r="GM27" s="85">
        <f t="shared" si="178"/>
        <v>1.4159896384841952</v>
      </c>
    </row>
    <row r="28" spans="1:195" s="25" customFormat="1" x14ac:dyDescent="0.25">
      <c r="A28" s="136"/>
      <c r="B28" s="166" t="s">
        <v>8</v>
      </c>
      <c r="C28" s="166" t="s">
        <v>8</v>
      </c>
      <c r="D28" s="166" t="s">
        <v>8</v>
      </c>
      <c r="E28" s="166" t="s">
        <v>8</v>
      </c>
      <c r="F28" s="166" t="s">
        <v>8</v>
      </c>
      <c r="G28" s="152"/>
      <c r="H28" s="349"/>
      <c r="I28" s="153"/>
      <c r="J28" s="154" t="s">
        <v>8</v>
      </c>
      <c r="K28" s="155"/>
      <c r="L28" s="156"/>
      <c r="M28" s="157"/>
      <c r="N28" s="158"/>
      <c r="O28" s="159"/>
      <c r="P28" s="33"/>
      <c r="Q28" s="160"/>
      <c r="R28" s="171" t="s">
        <v>8</v>
      </c>
      <c r="S28" s="158" t="s">
        <v>8</v>
      </c>
      <c r="T28" s="161"/>
      <c r="U28" s="159"/>
      <c r="V28" s="52"/>
      <c r="W28" s="160"/>
      <c r="X28" s="151" t="s">
        <v>8</v>
      </c>
      <c r="Y28" s="158" t="s">
        <v>8</v>
      </c>
      <c r="Z28" s="161"/>
      <c r="AA28" s="159"/>
      <c r="AB28" s="52"/>
      <c r="AC28" s="160"/>
      <c r="AD28" s="151" t="s">
        <v>8</v>
      </c>
      <c r="AE28" s="158" t="s">
        <v>8</v>
      </c>
      <c r="AF28" s="161"/>
      <c r="AG28" s="159"/>
      <c r="AH28" s="52"/>
      <c r="AI28" s="160"/>
      <c r="AJ28" s="151" t="s">
        <v>8</v>
      </c>
      <c r="AK28" s="158" t="s">
        <v>8</v>
      </c>
      <c r="AL28" s="161"/>
      <c r="AM28" s="159"/>
      <c r="AN28" s="52"/>
      <c r="AO28" s="160"/>
      <c r="AP28" s="151" t="s">
        <v>8</v>
      </c>
      <c r="AQ28" s="158" t="s">
        <v>8</v>
      </c>
      <c r="AR28" s="161"/>
      <c r="AS28" s="159"/>
      <c r="AT28" s="52"/>
      <c r="AU28" s="160"/>
      <c r="AV28" s="151" t="s">
        <v>8</v>
      </c>
      <c r="AW28" s="158" t="s">
        <v>8</v>
      </c>
      <c r="AX28" s="161"/>
      <c r="AY28" s="159"/>
      <c r="AZ28" s="52"/>
      <c r="BA28" s="160"/>
      <c r="BB28" s="151" t="s">
        <v>8</v>
      </c>
      <c r="BC28" s="158" t="s">
        <v>8</v>
      </c>
      <c r="BD28" s="161"/>
      <c r="BE28" s="159"/>
      <c r="BF28" s="52"/>
      <c r="BG28" s="160"/>
      <c r="BH28" s="151" t="s">
        <v>8</v>
      </c>
      <c r="BI28" s="158" t="s">
        <v>8</v>
      </c>
      <c r="BJ28" s="161"/>
      <c r="BK28" s="159"/>
      <c r="BL28" s="52"/>
      <c r="BM28" s="160"/>
      <c r="BN28" s="151" t="s">
        <v>8</v>
      </c>
      <c r="BO28" s="158" t="s">
        <v>8</v>
      </c>
      <c r="BP28" s="161"/>
      <c r="BQ28" s="159"/>
      <c r="BR28" s="52"/>
      <c r="BS28" s="162"/>
      <c r="BT28" s="151" t="s">
        <v>8</v>
      </c>
      <c r="BU28" s="158" t="s">
        <v>8</v>
      </c>
      <c r="BV28" s="161"/>
      <c r="BW28" s="159"/>
      <c r="BX28" s="52"/>
      <c r="BY28" s="162"/>
      <c r="BZ28" s="151" t="s">
        <v>8</v>
      </c>
      <c r="CA28" s="158" t="s">
        <v>8</v>
      </c>
      <c r="CB28" s="161"/>
      <c r="CC28" s="159"/>
      <c r="CD28" s="52"/>
      <c r="CE28" s="162"/>
      <c r="CF28" s="151" t="s">
        <v>8</v>
      </c>
      <c r="CG28" s="158" t="s">
        <v>8</v>
      </c>
      <c r="CH28" s="161"/>
      <c r="CI28" s="159"/>
      <c r="CJ28" s="52"/>
      <c r="CK28" s="162"/>
      <c r="CL28" s="151" t="s">
        <v>8</v>
      </c>
      <c r="CM28" s="158" t="s">
        <v>8</v>
      </c>
      <c r="CN28" s="161"/>
      <c r="CO28" s="159"/>
      <c r="CP28" s="52"/>
      <c r="CQ28" s="162"/>
      <c r="CR28" s="151" t="s">
        <v>8</v>
      </c>
      <c r="CS28" s="158" t="s">
        <v>8</v>
      </c>
      <c r="CT28" s="161"/>
      <c r="CU28" s="159"/>
      <c r="CV28" s="52"/>
      <c r="CW28" s="162"/>
      <c r="CX28" s="151" t="s">
        <v>8</v>
      </c>
      <c r="CY28" s="158" t="s">
        <v>8</v>
      </c>
      <c r="CZ28" s="161"/>
      <c r="DA28" s="159"/>
      <c r="DB28" s="52"/>
      <c r="DC28" s="162"/>
      <c r="DD28" s="151" t="s">
        <v>8</v>
      </c>
      <c r="DE28" s="158" t="s">
        <v>8</v>
      </c>
      <c r="DF28" s="161"/>
      <c r="DG28" s="159"/>
      <c r="DH28" s="52"/>
      <c r="DI28" s="162"/>
      <c r="DJ28" s="151" t="s">
        <v>8</v>
      </c>
      <c r="DK28" s="158" t="s">
        <v>8</v>
      </c>
      <c r="DL28" s="161"/>
      <c r="DM28" s="159"/>
      <c r="DN28" s="52"/>
      <c r="DO28" s="162"/>
      <c r="DP28" s="151" t="s">
        <v>8</v>
      </c>
      <c r="DQ28" s="158" t="s">
        <v>8</v>
      </c>
      <c r="DR28" s="161"/>
      <c r="DS28" s="159"/>
      <c r="DT28" s="52"/>
      <c r="DU28" s="162"/>
      <c r="DV28" s="151" t="s">
        <v>8</v>
      </c>
      <c r="DW28" s="158" t="s">
        <v>8</v>
      </c>
      <c r="DX28" s="34"/>
      <c r="DY28" s="159"/>
      <c r="DZ28" s="33"/>
      <c r="EA28" s="160"/>
      <c r="EB28" s="151" t="s">
        <v>8</v>
      </c>
      <c r="EC28" s="158" t="s">
        <v>8</v>
      </c>
      <c r="ED28" s="34"/>
      <c r="EE28" s="159"/>
      <c r="EF28" s="33"/>
      <c r="EG28" s="160"/>
      <c r="EH28" s="151" t="s">
        <v>8</v>
      </c>
      <c r="EI28" s="158" t="s">
        <v>8</v>
      </c>
      <c r="EJ28" s="34"/>
      <c r="EK28" s="159"/>
      <c r="EL28" s="33"/>
      <c r="EM28" s="160"/>
      <c r="EN28" s="151" t="s">
        <v>8</v>
      </c>
      <c r="EO28" s="158" t="s">
        <v>8</v>
      </c>
      <c r="EP28" s="34"/>
      <c r="EQ28" s="159"/>
      <c r="ER28" s="33"/>
      <c r="ES28" s="160"/>
      <c r="ET28" s="151" t="s">
        <v>8</v>
      </c>
      <c r="EU28" s="158" t="s">
        <v>8</v>
      </c>
      <c r="EV28" s="34"/>
      <c r="EW28" s="159"/>
      <c r="EX28" s="33"/>
      <c r="EY28" s="160"/>
      <c r="EZ28" s="151" t="s">
        <v>8</v>
      </c>
      <c r="FA28" s="158" t="s">
        <v>8</v>
      </c>
      <c r="FB28" s="34"/>
      <c r="FC28" s="159"/>
      <c r="FD28" s="33"/>
      <c r="FE28" s="160"/>
      <c r="FF28" s="151" t="s">
        <v>8</v>
      </c>
      <c r="FG28" s="158" t="s">
        <v>8</v>
      </c>
      <c r="FH28" s="34"/>
      <c r="FI28" s="159"/>
      <c r="FJ28" s="33"/>
      <c r="FK28" s="160"/>
      <c r="FL28" s="151" t="s">
        <v>8</v>
      </c>
      <c r="FM28" s="158" t="s">
        <v>8</v>
      </c>
      <c r="FN28" s="34"/>
      <c r="FO28" s="159"/>
      <c r="FP28" s="33"/>
      <c r="FQ28" s="160"/>
      <c r="FR28" s="151" t="s">
        <v>8</v>
      </c>
      <c r="FS28" s="158" t="s">
        <v>8</v>
      </c>
      <c r="FT28" s="34"/>
      <c r="FU28" s="159"/>
      <c r="FV28" s="33"/>
      <c r="FW28" s="160"/>
      <c r="FX28" s="151" t="s">
        <v>8</v>
      </c>
      <c r="FY28" s="158" t="s">
        <v>8</v>
      </c>
      <c r="FZ28" s="34"/>
      <c r="GA28" s="159"/>
      <c r="GB28" s="33"/>
      <c r="GC28" s="160"/>
      <c r="GD28" s="151" t="s">
        <v>8</v>
      </c>
      <c r="GE28" s="158" t="s">
        <v>8</v>
      </c>
      <c r="GF28" s="34"/>
      <c r="GG28" s="159"/>
      <c r="GH28" s="33"/>
      <c r="GI28" s="162"/>
      <c r="GJ28" s="178">
        <f t="shared" si="228"/>
        <v>0</v>
      </c>
      <c r="GK28" s="282">
        <f t="shared" si="177"/>
        <v>0</v>
      </c>
      <c r="GL28" s="279"/>
      <c r="GM28" s="85"/>
    </row>
    <row r="29" spans="1:195" s="25" customFormat="1" x14ac:dyDescent="0.25">
      <c r="A29" s="136"/>
      <c r="B29" s="166" t="s">
        <v>8</v>
      </c>
      <c r="C29" s="166" t="s">
        <v>8</v>
      </c>
      <c r="D29" s="166" t="s">
        <v>8</v>
      </c>
      <c r="E29" s="166" t="s">
        <v>8</v>
      </c>
      <c r="F29" s="166" t="s">
        <v>8</v>
      </c>
      <c r="G29" s="152"/>
      <c r="H29" s="349"/>
      <c r="I29" s="153"/>
      <c r="J29" s="154" t="s">
        <v>8</v>
      </c>
      <c r="K29" s="155"/>
      <c r="L29" s="156"/>
      <c r="M29" s="157"/>
      <c r="N29" s="158"/>
      <c r="O29" s="159"/>
      <c r="P29" s="33"/>
      <c r="Q29" s="160"/>
      <c r="R29" s="171" t="s">
        <v>8</v>
      </c>
      <c r="S29" s="158" t="s">
        <v>8</v>
      </c>
      <c r="T29" s="161"/>
      <c r="U29" s="159"/>
      <c r="V29" s="52"/>
      <c r="W29" s="160"/>
      <c r="X29" s="151" t="s">
        <v>8</v>
      </c>
      <c r="Y29" s="158" t="s">
        <v>8</v>
      </c>
      <c r="Z29" s="161"/>
      <c r="AA29" s="159"/>
      <c r="AB29" s="52"/>
      <c r="AC29" s="160"/>
      <c r="AD29" s="151" t="s">
        <v>8</v>
      </c>
      <c r="AE29" s="158" t="s">
        <v>8</v>
      </c>
      <c r="AF29" s="161"/>
      <c r="AG29" s="159"/>
      <c r="AH29" s="52"/>
      <c r="AI29" s="160"/>
      <c r="AJ29" s="151" t="s">
        <v>8</v>
      </c>
      <c r="AK29" s="158" t="s">
        <v>8</v>
      </c>
      <c r="AL29" s="161"/>
      <c r="AM29" s="159"/>
      <c r="AN29" s="52"/>
      <c r="AO29" s="160"/>
      <c r="AP29" s="151" t="s">
        <v>8</v>
      </c>
      <c r="AQ29" s="158" t="s">
        <v>8</v>
      </c>
      <c r="AR29" s="161"/>
      <c r="AS29" s="159"/>
      <c r="AT29" s="52"/>
      <c r="AU29" s="160"/>
      <c r="AV29" s="151" t="s">
        <v>8</v>
      </c>
      <c r="AW29" s="158" t="s">
        <v>8</v>
      </c>
      <c r="AX29" s="161"/>
      <c r="AY29" s="159"/>
      <c r="AZ29" s="52"/>
      <c r="BA29" s="160"/>
      <c r="BB29" s="151" t="s">
        <v>8</v>
      </c>
      <c r="BC29" s="158" t="s">
        <v>8</v>
      </c>
      <c r="BD29" s="161"/>
      <c r="BE29" s="159"/>
      <c r="BF29" s="52"/>
      <c r="BG29" s="160"/>
      <c r="BH29" s="151" t="s">
        <v>8</v>
      </c>
      <c r="BI29" s="158" t="s">
        <v>8</v>
      </c>
      <c r="BJ29" s="161"/>
      <c r="BK29" s="159"/>
      <c r="BL29" s="52"/>
      <c r="BM29" s="160"/>
      <c r="BN29" s="151" t="s">
        <v>8</v>
      </c>
      <c r="BO29" s="158" t="s">
        <v>8</v>
      </c>
      <c r="BP29" s="161"/>
      <c r="BQ29" s="159"/>
      <c r="BR29" s="52"/>
      <c r="BS29" s="162"/>
      <c r="BT29" s="151" t="s">
        <v>8</v>
      </c>
      <c r="BU29" s="158" t="s">
        <v>8</v>
      </c>
      <c r="BV29" s="161"/>
      <c r="BW29" s="159"/>
      <c r="BX29" s="52"/>
      <c r="BY29" s="162"/>
      <c r="BZ29" s="151" t="s">
        <v>8</v>
      </c>
      <c r="CA29" s="158" t="s">
        <v>8</v>
      </c>
      <c r="CB29" s="161"/>
      <c r="CC29" s="159"/>
      <c r="CD29" s="52"/>
      <c r="CE29" s="162"/>
      <c r="CF29" s="151" t="s">
        <v>8</v>
      </c>
      <c r="CG29" s="158" t="s">
        <v>8</v>
      </c>
      <c r="CH29" s="161"/>
      <c r="CI29" s="159"/>
      <c r="CJ29" s="52"/>
      <c r="CK29" s="162"/>
      <c r="CL29" s="151" t="s">
        <v>8</v>
      </c>
      <c r="CM29" s="158" t="s">
        <v>8</v>
      </c>
      <c r="CN29" s="161"/>
      <c r="CO29" s="159"/>
      <c r="CP29" s="52"/>
      <c r="CQ29" s="162"/>
      <c r="CR29" s="151" t="s">
        <v>8</v>
      </c>
      <c r="CS29" s="158" t="s">
        <v>8</v>
      </c>
      <c r="CT29" s="161"/>
      <c r="CU29" s="159"/>
      <c r="CV29" s="52"/>
      <c r="CW29" s="162"/>
      <c r="CX29" s="151" t="s">
        <v>8</v>
      </c>
      <c r="CY29" s="158" t="s">
        <v>8</v>
      </c>
      <c r="CZ29" s="161"/>
      <c r="DA29" s="159"/>
      <c r="DB29" s="52"/>
      <c r="DC29" s="162"/>
      <c r="DD29" s="151" t="s">
        <v>8</v>
      </c>
      <c r="DE29" s="158" t="s">
        <v>8</v>
      </c>
      <c r="DF29" s="161"/>
      <c r="DG29" s="159"/>
      <c r="DH29" s="52"/>
      <c r="DI29" s="162"/>
      <c r="DJ29" s="151" t="s">
        <v>8</v>
      </c>
      <c r="DK29" s="158" t="s">
        <v>8</v>
      </c>
      <c r="DL29" s="161"/>
      <c r="DM29" s="159"/>
      <c r="DN29" s="52"/>
      <c r="DO29" s="162"/>
      <c r="DP29" s="151" t="s">
        <v>8</v>
      </c>
      <c r="DQ29" s="158" t="s">
        <v>8</v>
      </c>
      <c r="DR29" s="161"/>
      <c r="DS29" s="159"/>
      <c r="DT29" s="52"/>
      <c r="DU29" s="162"/>
      <c r="DV29" s="151" t="s">
        <v>8</v>
      </c>
      <c r="DW29" s="158" t="s">
        <v>8</v>
      </c>
      <c r="DX29" s="34"/>
      <c r="DY29" s="159"/>
      <c r="DZ29" s="33"/>
      <c r="EA29" s="160"/>
      <c r="EB29" s="151" t="s">
        <v>8</v>
      </c>
      <c r="EC29" s="158" t="s">
        <v>8</v>
      </c>
      <c r="ED29" s="34"/>
      <c r="EE29" s="159"/>
      <c r="EF29" s="33"/>
      <c r="EG29" s="160"/>
      <c r="EH29" s="151" t="s">
        <v>8</v>
      </c>
      <c r="EI29" s="158" t="s">
        <v>8</v>
      </c>
      <c r="EJ29" s="34"/>
      <c r="EK29" s="159"/>
      <c r="EL29" s="33"/>
      <c r="EM29" s="160"/>
      <c r="EN29" s="151" t="s">
        <v>8</v>
      </c>
      <c r="EO29" s="158" t="s">
        <v>8</v>
      </c>
      <c r="EP29" s="34"/>
      <c r="EQ29" s="159"/>
      <c r="ER29" s="33"/>
      <c r="ES29" s="160"/>
      <c r="ET29" s="151" t="s">
        <v>8</v>
      </c>
      <c r="EU29" s="158" t="s">
        <v>8</v>
      </c>
      <c r="EV29" s="34"/>
      <c r="EW29" s="159"/>
      <c r="EX29" s="33"/>
      <c r="EY29" s="160"/>
      <c r="EZ29" s="151" t="s">
        <v>8</v>
      </c>
      <c r="FA29" s="158" t="s">
        <v>8</v>
      </c>
      <c r="FB29" s="34"/>
      <c r="FC29" s="159"/>
      <c r="FD29" s="33"/>
      <c r="FE29" s="160"/>
      <c r="FF29" s="151" t="s">
        <v>8</v>
      </c>
      <c r="FG29" s="158" t="s">
        <v>8</v>
      </c>
      <c r="FH29" s="34"/>
      <c r="FI29" s="159"/>
      <c r="FJ29" s="33"/>
      <c r="FK29" s="160"/>
      <c r="FL29" s="151" t="s">
        <v>8</v>
      </c>
      <c r="FM29" s="158" t="s">
        <v>8</v>
      </c>
      <c r="FN29" s="34"/>
      <c r="FO29" s="159"/>
      <c r="FP29" s="33"/>
      <c r="FQ29" s="160"/>
      <c r="FR29" s="151" t="s">
        <v>8</v>
      </c>
      <c r="FS29" s="158" t="s">
        <v>8</v>
      </c>
      <c r="FT29" s="34"/>
      <c r="FU29" s="159"/>
      <c r="FV29" s="33"/>
      <c r="FW29" s="160"/>
      <c r="FX29" s="151" t="s">
        <v>8</v>
      </c>
      <c r="FY29" s="158" t="s">
        <v>8</v>
      </c>
      <c r="FZ29" s="34"/>
      <c r="GA29" s="159"/>
      <c r="GB29" s="33"/>
      <c r="GC29" s="160"/>
      <c r="GD29" s="151" t="s">
        <v>8</v>
      </c>
      <c r="GE29" s="158" t="s">
        <v>8</v>
      </c>
      <c r="GF29" s="34"/>
      <c r="GG29" s="159"/>
      <c r="GH29" s="33"/>
      <c r="GI29" s="162"/>
      <c r="GJ29" s="178">
        <f t="shared" si="228"/>
        <v>0</v>
      </c>
      <c r="GK29" s="94">
        <f t="shared" si="177"/>
        <v>0</v>
      </c>
      <c r="GL29" s="279"/>
      <c r="GM29" s="85"/>
    </row>
    <row r="30" spans="1:195" s="25" customFormat="1" x14ac:dyDescent="0.25">
      <c r="A30" s="136"/>
      <c r="B30" s="166" t="s">
        <v>8</v>
      </c>
      <c r="C30" s="166" t="s">
        <v>8</v>
      </c>
      <c r="D30" s="166" t="s">
        <v>8</v>
      </c>
      <c r="E30" s="166" t="s">
        <v>8</v>
      </c>
      <c r="F30" s="166" t="s">
        <v>8</v>
      </c>
      <c r="G30" s="152"/>
      <c r="H30" s="349"/>
      <c r="I30" s="153"/>
      <c r="J30" s="154" t="s">
        <v>8</v>
      </c>
      <c r="K30" s="155"/>
      <c r="L30" s="156"/>
      <c r="M30" s="157"/>
      <c r="N30" s="158"/>
      <c r="O30" s="159"/>
      <c r="P30" s="33"/>
      <c r="Q30" s="160"/>
      <c r="R30" s="171" t="s">
        <v>8</v>
      </c>
      <c r="S30" s="158" t="s">
        <v>8</v>
      </c>
      <c r="T30" s="161"/>
      <c r="U30" s="159"/>
      <c r="V30" s="52"/>
      <c r="W30" s="160"/>
      <c r="X30" s="151" t="s">
        <v>8</v>
      </c>
      <c r="Y30" s="158" t="s">
        <v>8</v>
      </c>
      <c r="Z30" s="161"/>
      <c r="AA30" s="159"/>
      <c r="AB30" s="52"/>
      <c r="AC30" s="160"/>
      <c r="AD30" s="151" t="s">
        <v>8</v>
      </c>
      <c r="AE30" s="158" t="s">
        <v>8</v>
      </c>
      <c r="AF30" s="161"/>
      <c r="AG30" s="159"/>
      <c r="AH30" s="52"/>
      <c r="AI30" s="160"/>
      <c r="AJ30" s="151" t="s">
        <v>8</v>
      </c>
      <c r="AK30" s="158" t="s">
        <v>8</v>
      </c>
      <c r="AL30" s="161"/>
      <c r="AM30" s="159"/>
      <c r="AN30" s="52"/>
      <c r="AO30" s="160"/>
      <c r="AP30" s="151" t="s">
        <v>8</v>
      </c>
      <c r="AQ30" s="158" t="s">
        <v>8</v>
      </c>
      <c r="AR30" s="161"/>
      <c r="AS30" s="159"/>
      <c r="AT30" s="52"/>
      <c r="AU30" s="160"/>
      <c r="AV30" s="151" t="s">
        <v>8</v>
      </c>
      <c r="AW30" s="158" t="s">
        <v>8</v>
      </c>
      <c r="AX30" s="161"/>
      <c r="AY30" s="159"/>
      <c r="AZ30" s="52"/>
      <c r="BA30" s="160"/>
      <c r="BB30" s="151" t="s">
        <v>8</v>
      </c>
      <c r="BC30" s="158" t="s">
        <v>8</v>
      </c>
      <c r="BD30" s="161"/>
      <c r="BE30" s="159"/>
      <c r="BF30" s="52"/>
      <c r="BG30" s="160"/>
      <c r="BH30" s="151" t="s">
        <v>8</v>
      </c>
      <c r="BI30" s="158" t="s">
        <v>8</v>
      </c>
      <c r="BJ30" s="161"/>
      <c r="BK30" s="159"/>
      <c r="BL30" s="52"/>
      <c r="BM30" s="160"/>
      <c r="BN30" s="151" t="s">
        <v>8</v>
      </c>
      <c r="BO30" s="158" t="s">
        <v>8</v>
      </c>
      <c r="BP30" s="161"/>
      <c r="BQ30" s="159"/>
      <c r="BR30" s="52"/>
      <c r="BS30" s="162"/>
      <c r="BT30" s="151" t="s">
        <v>8</v>
      </c>
      <c r="BU30" s="158" t="s">
        <v>8</v>
      </c>
      <c r="BV30" s="161"/>
      <c r="BW30" s="159"/>
      <c r="BX30" s="52"/>
      <c r="BY30" s="162"/>
      <c r="BZ30" s="151" t="s">
        <v>8</v>
      </c>
      <c r="CA30" s="158" t="s">
        <v>8</v>
      </c>
      <c r="CB30" s="161"/>
      <c r="CC30" s="159"/>
      <c r="CD30" s="52"/>
      <c r="CE30" s="162"/>
      <c r="CF30" s="151" t="s">
        <v>8</v>
      </c>
      <c r="CG30" s="158" t="s">
        <v>8</v>
      </c>
      <c r="CH30" s="161"/>
      <c r="CI30" s="159"/>
      <c r="CJ30" s="52"/>
      <c r="CK30" s="162"/>
      <c r="CL30" s="151" t="s">
        <v>8</v>
      </c>
      <c r="CM30" s="158" t="s">
        <v>8</v>
      </c>
      <c r="CN30" s="161"/>
      <c r="CO30" s="159"/>
      <c r="CP30" s="52"/>
      <c r="CQ30" s="162"/>
      <c r="CR30" s="151" t="s">
        <v>8</v>
      </c>
      <c r="CS30" s="158" t="s">
        <v>8</v>
      </c>
      <c r="CT30" s="161"/>
      <c r="CU30" s="159"/>
      <c r="CV30" s="52"/>
      <c r="CW30" s="162"/>
      <c r="CX30" s="151" t="s">
        <v>8</v>
      </c>
      <c r="CY30" s="158" t="s">
        <v>8</v>
      </c>
      <c r="CZ30" s="161"/>
      <c r="DA30" s="159"/>
      <c r="DB30" s="52"/>
      <c r="DC30" s="162"/>
      <c r="DD30" s="151" t="s">
        <v>8</v>
      </c>
      <c r="DE30" s="158" t="s">
        <v>8</v>
      </c>
      <c r="DF30" s="161"/>
      <c r="DG30" s="159"/>
      <c r="DH30" s="52"/>
      <c r="DI30" s="162"/>
      <c r="DJ30" s="151" t="s">
        <v>8</v>
      </c>
      <c r="DK30" s="158" t="s">
        <v>8</v>
      </c>
      <c r="DL30" s="161"/>
      <c r="DM30" s="159"/>
      <c r="DN30" s="52"/>
      <c r="DO30" s="162"/>
      <c r="DP30" s="151" t="s">
        <v>8</v>
      </c>
      <c r="DQ30" s="158" t="s">
        <v>8</v>
      </c>
      <c r="DR30" s="161"/>
      <c r="DS30" s="159"/>
      <c r="DT30" s="52"/>
      <c r="DU30" s="162"/>
      <c r="DV30" s="151" t="s">
        <v>8</v>
      </c>
      <c r="DW30" s="158" t="s">
        <v>8</v>
      </c>
      <c r="DX30" s="34"/>
      <c r="DY30" s="159"/>
      <c r="DZ30" s="33"/>
      <c r="EA30" s="160"/>
      <c r="EB30" s="151" t="s">
        <v>8</v>
      </c>
      <c r="EC30" s="158" t="s">
        <v>8</v>
      </c>
      <c r="ED30" s="34"/>
      <c r="EE30" s="159"/>
      <c r="EF30" s="33"/>
      <c r="EG30" s="160"/>
      <c r="EH30" s="151" t="s">
        <v>8</v>
      </c>
      <c r="EI30" s="158" t="s">
        <v>8</v>
      </c>
      <c r="EJ30" s="34"/>
      <c r="EK30" s="159"/>
      <c r="EL30" s="33"/>
      <c r="EM30" s="160"/>
      <c r="EN30" s="151" t="s">
        <v>8</v>
      </c>
      <c r="EO30" s="158" t="s">
        <v>8</v>
      </c>
      <c r="EP30" s="34"/>
      <c r="EQ30" s="159"/>
      <c r="ER30" s="33"/>
      <c r="ES30" s="160"/>
      <c r="ET30" s="151" t="s">
        <v>8</v>
      </c>
      <c r="EU30" s="158" t="s">
        <v>8</v>
      </c>
      <c r="EV30" s="34"/>
      <c r="EW30" s="159"/>
      <c r="EX30" s="33"/>
      <c r="EY30" s="160"/>
      <c r="EZ30" s="151" t="s">
        <v>8</v>
      </c>
      <c r="FA30" s="158" t="s">
        <v>8</v>
      </c>
      <c r="FB30" s="34"/>
      <c r="FC30" s="159"/>
      <c r="FD30" s="33"/>
      <c r="FE30" s="160"/>
      <c r="FF30" s="151" t="s">
        <v>8</v>
      </c>
      <c r="FG30" s="158" t="s">
        <v>8</v>
      </c>
      <c r="FH30" s="34"/>
      <c r="FI30" s="159"/>
      <c r="FJ30" s="33"/>
      <c r="FK30" s="160"/>
      <c r="FL30" s="151" t="s">
        <v>8</v>
      </c>
      <c r="FM30" s="158" t="s">
        <v>8</v>
      </c>
      <c r="FN30" s="34"/>
      <c r="FO30" s="159"/>
      <c r="FP30" s="33"/>
      <c r="FQ30" s="160"/>
      <c r="FR30" s="151" t="s">
        <v>8</v>
      </c>
      <c r="FS30" s="158" t="s">
        <v>8</v>
      </c>
      <c r="FT30" s="34"/>
      <c r="FU30" s="159"/>
      <c r="FV30" s="33"/>
      <c r="FW30" s="160"/>
      <c r="FX30" s="151" t="s">
        <v>8</v>
      </c>
      <c r="FY30" s="158" t="s">
        <v>8</v>
      </c>
      <c r="FZ30" s="34"/>
      <c r="GA30" s="159"/>
      <c r="GB30" s="33"/>
      <c r="GC30" s="160"/>
      <c r="GD30" s="151" t="s">
        <v>8</v>
      </c>
      <c r="GE30" s="158" t="s">
        <v>8</v>
      </c>
      <c r="GF30" s="34"/>
      <c r="GG30" s="159"/>
      <c r="GH30" s="33"/>
      <c r="GI30" s="162"/>
      <c r="GJ30" s="178">
        <f t="shared" si="228"/>
        <v>0</v>
      </c>
      <c r="GK30" s="94">
        <f t="shared" si="177"/>
        <v>0</v>
      </c>
      <c r="GL30" s="279"/>
      <c r="GM30" s="85"/>
    </row>
    <row r="31" spans="1:195" s="25" customFormat="1" x14ac:dyDescent="0.25">
      <c r="A31" s="136"/>
      <c r="B31" s="166" t="s">
        <v>8</v>
      </c>
      <c r="C31" s="166" t="s">
        <v>8</v>
      </c>
      <c r="D31" s="166" t="s">
        <v>8</v>
      </c>
      <c r="E31" s="166" t="s">
        <v>8</v>
      </c>
      <c r="F31" s="166" t="s">
        <v>8</v>
      </c>
      <c r="G31" s="152"/>
      <c r="H31" s="349"/>
      <c r="I31" s="153"/>
      <c r="J31" s="154" t="s">
        <v>8</v>
      </c>
      <c r="K31" s="155"/>
      <c r="L31" s="156"/>
      <c r="M31" s="157"/>
      <c r="N31" s="158"/>
      <c r="O31" s="159"/>
      <c r="P31" s="33"/>
      <c r="Q31" s="160"/>
      <c r="R31" s="171" t="s">
        <v>8</v>
      </c>
      <c r="S31" s="158" t="s">
        <v>8</v>
      </c>
      <c r="T31" s="161"/>
      <c r="U31" s="159"/>
      <c r="V31" s="52"/>
      <c r="W31" s="160"/>
      <c r="X31" s="151" t="s">
        <v>8</v>
      </c>
      <c r="Y31" s="158" t="s">
        <v>8</v>
      </c>
      <c r="Z31" s="161"/>
      <c r="AA31" s="159"/>
      <c r="AB31" s="52"/>
      <c r="AC31" s="160"/>
      <c r="AD31" s="151" t="s">
        <v>8</v>
      </c>
      <c r="AE31" s="158" t="s">
        <v>8</v>
      </c>
      <c r="AF31" s="161"/>
      <c r="AG31" s="159"/>
      <c r="AH31" s="52"/>
      <c r="AI31" s="160"/>
      <c r="AJ31" s="151" t="s">
        <v>8</v>
      </c>
      <c r="AK31" s="158" t="s">
        <v>8</v>
      </c>
      <c r="AL31" s="161"/>
      <c r="AM31" s="159"/>
      <c r="AN31" s="52"/>
      <c r="AO31" s="160"/>
      <c r="AP31" s="151" t="s">
        <v>8</v>
      </c>
      <c r="AQ31" s="158" t="s">
        <v>8</v>
      </c>
      <c r="AR31" s="161"/>
      <c r="AS31" s="159"/>
      <c r="AT31" s="52"/>
      <c r="AU31" s="160"/>
      <c r="AV31" s="151" t="s">
        <v>8</v>
      </c>
      <c r="AW31" s="158" t="s">
        <v>8</v>
      </c>
      <c r="AX31" s="161"/>
      <c r="AY31" s="159"/>
      <c r="AZ31" s="52"/>
      <c r="BA31" s="160"/>
      <c r="BB31" s="151" t="s">
        <v>8</v>
      </c>
      <c r="BC31" s="158" t="s">
        <v>8</v>
      </c>
      <c r="BD31" s="161"/>
      <c r="BE31" s="159"/>
      <c r="BF31" s="52"/>
      <c r="BG31" s="160"/>
      <c r="BH31" s="151" t="s">
        <v>8</v>
      </c>
      <c r="BI31" s="158" t="s">
        <v>8</v>
      </c>
      <c r="BJ31" s="161"/>
      <c r="BK31" s="159"/>
      <c r="BL31" s="52"/>
      <c r="BM31" s="160"/>
      <c r="BN31" s="151" t="s">
        <v>8</v>
      </c>
      <c r="BO31" s="158" t="s">
        <v>8</v>
      </c>
      <c r="BP31" s="161"/>
      <c r="BQ31" s="159"/>
      <c r="BR31" s="52"/>
      <c r="BS31" s="162"/>
      <c r="BT31" s="151" t="s">
        <v>8</v>
      </c>
      <c r="BU31" s="158" t="s">
        <v>8</v>
      </c>
      <c r="BV31" s="161"/>
      <c r="BW31" s="159"/>
      <c r="BX31" s="52"/>
      <c r="BY31" s="162"/>
      <c r="BZ31" s="151" t="s">
        <v>8</v>
      </c>
      <c r="CA31" s="158" t="s">
        <v>8</v>
      </c>
      <c r="CB31" s="161"/>
      <c r="CC31" s="159"/>
      <c r="CD31" s="52"/>
      <c r="CE31" s="162"/>
      <c r="CF31" s="151" t="s">
        <v>8</v>
      </c>
      <c r="CG31" s="158" t="s">
        <v>8</v>
      </c>
      <c r="CH31" s="161"/>
      <c r="CI31" s="159"/>
      <c r="CJ31" s="52"/>
      <c r="CK31" s="162"/>
      <c r="CL31" s="151" t="s">
        <v>8</v>
      </c>
      <c r="CM31" s="158" t="s">
        <v>8</v>
      </c>
      <c r="CN31" s="161"/>
      <c r="CO31" s="159"/>
      <c r="CP31" s="52"/>
      <c r="CQ31" s="162"/>
      <c r="CR31" s="151" t="s">
        <v>8</v>
      </c>
      <c r="CS31" s="158" t="s">
        <v>8</v>
      </c>
      <c r="CT31" s="161"/>
      <c r="CU31" s="159"/>
      <c r="CV31" s="52"/>
      <c r="CW31" s="162"/>
      <c r="CX31" s="151" t="s">
        <v>8</v>
      </c>
      <c r="CY31" s="158" t="s">
        <v>8</v>
      </c>
      <c r="CZ31" s="161"/>
      <c r="DA31" s="159"/>
      <c r="DB31" s="52"/>
      <c r="DC31" s="162"/>
      <c r="DD31" s="151" t="s">
        <v>8</v>
      </c>
      <c r="DE31" s="158" t="s">
        <v>8</v>
      </c>
      <c r="DF31" s="161"/>
      <c r="DG31" s="159"/>
      <c r="DH31" s="52"/>
      <c r="DI31" s="162"/>
      <c r="DJ31" s="151" t="s">
        <v>8</v>
      </c>
      <c r="DK31" s="158" t="s">
        <v>8</v>
      </c>
      <c r="DL31" s="161"/>
      <c r="DM31" s="159"/>
      <c r="DN31" s="52"/>
      <c r="DO31" s="162"/>
      <c r="DP31" s="151" t="s">
        <v>8</v>
      </c>
      <c r="DQ31" s="158" t="s">
        <v>8</v>
      </c>
      <c r="DR31" s="161"/>
      <c r="DS31" s="159"/>
      <c r="DT31" s="52"/>
      <c r="DU31" s="162"/>
      <c r="DV31" s="151" t="s">
        <v>8</v>
      </c>
      <c r="DW31" s="158" t="s">
        <v>8</v>
      </c>
      <c r="DX31" s="34"/>
      <c r="DY31" s="159"/>
      <c r="DZ31" s="33"/>
      <c r="EA31" s="160"/>
      <c r="EB31" s="151" t="s">
        <v>8</v>
      </c>
      <c r="EC31" s="158" t="s">
        <v>8</v>
      </c>
      <c r="ED31" s="34"/>
      <c r="EE31" s="159"/>
      <c r="EF31" s="33"/>
      <c r="EG31" s="160"/>
      <c r="EH31" s="151" t="s">
        <v>8</v>
      </c>
      <c r="EI31" s="158" t="s">
        <v>8</v>
      </c>
      <c r="EJ31" s="34"/>
      <c r="EK31" s="159"/>
      <c r="EL31" s="33"/>
      <c r="EM31" s="160"/>
      <c r="EN31" s="151" t="s">
        <v>8</v>
      </c>
      <c r="EO31" s="158" t="s">
        <v>8</v>
      </c>
      <c r="EP31" s="34"/>
      <c r="EQ31" s="159"/>
      <c r="ER31" s="33"/>
      <c r="ES31" s="160"/>
      <c r="ET31" s="151" t="s">
        <v>8</v>
      </c>
      <c r="EU31" s="158" t="s">
        <v>8</v>
      </c>
      <c r="EV31" s="34"/>
      <c r="EW31" s="159"/>
      <c r="EX31" s="33"/>
      <c r="EY31" s="160"/>
      <c r="EZ31" s="151" t="s">
        <v>8</v>
      </c>
      <c r="FA31" s="158" t="s">
        <v>8</v>
      </c>
      <c r="FB31" s="34"/>
      <c r="FC31" s="159"/>
      <c r="FD31" s="33"/>
      <c r="FE31" s="160"/>
      <c r="FF31" s="151" t="s">
        <v>8</v>
      </c>
      <c r="FG31" s="158" t="s">
        <v>8</v>
      </c>
      <c r="FH31" s="34"/>
      <c r="FI31" s="159"/>
      <c r="FJ31" s="33"/>
      <c r="FK31" s="160"/>
      <c r="FL31" s="151" t="s">
        <v>8</v>
      </c>
      <c r="FM31" s="158" t="s">
        <v>8</v>
      </c>
      <c r="FN31" s="34"/>
      <c r="FO31" s="159"/>
      <c r="FP31" s="33"/>
      <c r="FQ31" s="160"/>
      <c r="FR31" s="151" t="s">
        <v>8</v>
      </c>
      <c r="FS31" s="158" t="s">
        <v>8</v>
      </c>
      <c r="FT31" s="34"/>
      <c r="FU31" s="159"/>
      <c r="FV31" s="33"/>
      <c r="FW31" s="160"/>
      <c r="FX31" s="151" t="s">
        <v>8</v>
      </c>
      <c r="FY31" s="158" t="s">
        <v>8</v>
      </c>
      <c r="FZ31" s="34"/>
      <c r="GA31" s="159"/>
      <c r="GB31" s="33"/>
      <c r="GC31" s="160"/>
      <c r="GD31" s="151" t="s">
        <v>8</v>
      </c>
      <c r="GE31" s="158" t="s">
        <v>8</v>
      </c>
      <c r="GF31" s="34"/>
      <c r="GG31" s="159"/>
      <c r="GH31" s="33"/>
      <c r="GI31" s="162"/>
      <c r="GJ31" s="178">
        <f t="shared" si="228"/>
        <v>0</v>
      </c>
      <c r="GK31" s="94">
        <f t="shared" si="177"/>
        <v>0</v>
      </c>
      <c r="GL31" s="279"/>
      <c r="GM31" s="85"/>
    </row>
    <row r="32" spans="1:195" s="25" customFormat="1" ht="16.5" thickBot="1" x14ac:dyDescent="0.3">
      <c r="A32" s="185"/>
      <c r="B32" s="166" t="s">
        <v>8</v>
      </c>
      <c r="C32" s="166" t="s">
        <v>8</v>
      </c>
      <c r="D32" s="166" t="s">
        <v>8</v>
      </c>
      <c r="E32" s="166" t="s">
        <v>8</v>
      </c>
      <c r="F32" s="166" t="s">
        <v>8</v>
      </c>
      <c r="G32" s="152"/>
      <c r="H32" s="349"/>
      <c r="I32" s="153"/>
      <c r="J32" s="154" t="s">
        <v>8</v>
      </c>
      <c r="K32" s="155"/>
      <c r="L32" s="156"/>
      <c r="M32" s="157"/>
      <c r="N32" s="158"/>
      <c r="O32" s="159"/>
      <c r="P32" s="52"/>
      <c r="Q32" s="160"/>
      <c r="R32" s="171" t="s">
        <v>8</v>
      </c>
      <c r="S32" s="158" t="s">
        <v>8</v>
      </c>
      <c r="T32" s="161"/>
      <c r="U32" s="159"/>
      <c r="V32" s="52"/>
      <c r="W32" s="160"/>
      <c r="X32" s="151" t="s">
        <v>8</v>
      </c>
      <c r="Y32" s="158" t="s">
        <v>8</v>
      </c>
      <c r="Z32" s="161"/>
      <c r="AA32" s="159"/>
      <c r="AB32" s="52"/>
      <c r="AC32" s="160"/>
      <c r="AD32" s="151" t="s">
        <v>8</v>
      </c>
      <c r="AE32" s="158" t="s">
        <v>8</v>
      </c>
      <c r="AF32" s="161"/>
      <c r="AG32" s="159"/>
      <c r="AH32" s="52"/>
      <c r="AI32" s="160"/>
      <c r="AJ32" s="151" t="s">
        <v>8</v>
      </c>
      <c r="AK32" s="158" t="s">
        <v>8</v>
      </c>
      <c r="AL32" s="161"/>
      <c r="AM32" s="159"/>
      <c r="AN32" s="52"/>
      <c r="AO32" s="160"/>
      <c r="AP32" s="151" t="s">
        <v>8</v>
      </c>
      <c r="AQ32" s="158" t="s">
        <v>8</v>
      </c>
      <c r="AR32" s="161"/>
      <c r="AS32" s="159"/>
      <c r="AT32" s="52"/>
      <c r="AU32" s="160"/>
      <c r="AV32" s="151" t="s">
        <v>8</v>
      </c>
      <c r="AW32" s="158" t="s">
        <v>8</v>
      </c>
      <c r="AX32" s="161"/>
      <c r="AY32" s="159"/>
      <c r="AZ32" s="52"/>
      <c r="BA32" s="160"/>
      <c r="BB32" s="151" t="s">
        <v>8</v>
      </c>
      <c r="BC32" s="158" t="s">
        <v>8</v>
      </c>
      <c r="BD32" s="161"/>
      <c r="BE32" s="159"/>
      <c r="BF32" s="52"/>
      <c r="BG32" s="160"/>
      <c r="BH32" s="151" t="s">
        <v>8</v>
      </c>
      <c r="BI32" s="158" t="s">
        <v>8</v>
      </c>
      <c r="BJ32" s="161"/>
      <c r="BK32" s="159"/>
      <c r="BL32" s="52"/>
      <c r="BM32" s="160"/>
      <c r="BN32" s="151" t="s">
        <v>8</v>
      </c>
      <c r="BO32" s="158" t="s">
        <v>8</v>
      </c>
      <c r="BP32" s="161"/>
      <c r="BQ32" s="159"/>
      <c r="BR32" s="52"/>
      <c r="BS32" s="162"/>
      <c r="BT32" s="151" t="s">
        <v>8</v>
      </c>
      <c r="BU32" s="158" t="s">
        <v>8</v>
      </c>
      <c r="BV32" s="161"/>
      <c r="BW32" s="159"/>
      <c r="BX32" s="52"/>
      <c r="BY32" s="162"/>
      <c r="BZ32" s="151" t="s">
        <v>8</v>
      </c>
      <c r="CA32" s="158" t="s">
        <v>8</v>
      </c>
      <c r="CB32" s="161"/>
      <c r="CC32" s="159"/>
      <c r="CD32" s="52"/>
      <c r="CE32" s="162"/>
      <c r="CF32" s="151" t="s">
        <v>8</v>
      </c>
      <c r="CG32" s="158" t="s">
        <v>8</v>
      </c>
      <c r="CH32" s="161"/>
      <c r="CI32" s="159"/>
      <c r="CJ32" s="52"/>
      <c r="CK32" s="162"/>
      <c r="CL32" s="151" t="s">
        <v>8</v>
      </c>
      <c r="CM32" s="158" t="s">
        <v>8</v>
      </c>
      <c r="CN32" s="161"/>
      <c r="CO32" s="159"/>
      <c r="CP32" s="52"/>
      <c r="CQ32" s="162"/>
      <c r="CR32" s="151" t="s">
        <v>8</v>
      </c>
      <c r="CS32" s="158" t="s">
        <v>8</v>
      </c>
      <c r="CT32" s="161"/>
      <c r="CU32" s="159"/>
      <c r="CV32" s="52"/>
      <c r="CW32" s="162"/>
      <c r="CX32" s="151" t="s">
        <v>8</v>
      </c>
      <c r="CY32" s="158" t="s">
        <v>8</v>
      </c>
      <c r="CZ32" s="161"/>
      <c r="DA32" s="159"/>
      <c r="DB32" s="52"/>
      <c r="DC32" s="162"/>
      <c r="DD32" s="151" t="s">
        <v>8</v>
      </c>
      <c r="DE32" s="158" t="s">
        <v>8</v>
      </c>
      <c r="DF32" s="161"/>
      <c r="DG32" s="159"/>
      <c r="DH32" s="52"/>
      <c r="DI32" s="162"/>
      <c r="DJ32" s="151" t="s">
        <v>8</v>
      </c>
      <c r="DK32" s="158" t="s">
        <v>8</v>
      </c>
      <c r="DL32" s="161"/>
      <c r="DM32" s="159"/>
      <c r="DN32" s="52"/>
      <c r="DO32" s="162"/>
      <c r="DP32" s="151" t="s">
        <v>8</v>
      </c>
      <c r="DQ32" s="158" t="s">
        <v>8</v>
      </c>
      <c r="DR32" s="161"/>
      <c r="DS32" s="159"/>
      <c r="DT32" s="52"/>
      <c r="DU32" s="162"/>
      <c r="DV32" s="151" t="s">
        <v>8</v>
      </c>
      <c r="DW32" s="158" t="s">
        <v>8</v>
      </c>
      <c r="DX32" s="51"/>
      <c r="DY32" s="159"/>
      <c r="DZ32" s="33"/>
      <c r="EA32" s="160"/>
      <c r="EB32" s="151" t="s">
        <v>8</v>
      </c>
      <c r="EC32" s="158" t="s">
        <v>8</v>
      </c>
      <c r="ED32" s="193"/>
      <c r="EE32" s="159"/>
      <c r="EF32" s="33"/>
      <c r="EG32" s="160"/>
      <c r="EH32" s="151" t="s">
        <v>8</v>
      </c>
      <c r="EI32" s="158" t="s">
        <v>8</v>
      </c>
      <c r="EJ32" s="193"/>
      <c r="EK32" s="159"/>
      <c r="EL32" s="33"/>
      <c r="EM32" s="160"/>
      <c r="EN32" s="151" t="s">
        <v>8</v>
      </c>
      <c r="EO32" s="158" t="s">
        <v>8</v>
      </c>
      <c r="EP32" s="193"/>
      <c r="EQ32" s="159"/>
      <c r="ER32" s="33"/>
      <c r="ES32" s="160"/>
      <c r="ET32" s="151" t="s">
        <v>8</v>
      </c>
      <c r="EU32" s="158" t="s">
        <v>8</v>
      </c>
      <c r="EV32" s="193"/>
      <c r="EW32" s="159"/>
      <c r="EX32" s="33"/>
      <c r="EY32" s="160"/>
      <c r="EZ32" s="151" t="s">
        <v>8</v>
      </c>
      <c r="FA32" s="158" t="s">
        <v>8</v>
      </c>
      <c r="FB32" s="193"/>
      <c r="FC32" s="159"/>
      <c r="FD32" s="33"/>
      <c r="FE32" s="160"/>
      <c r="FF32" s="151" t="s">
        <v>8</v>
      </c>
      <c r="FG32" s="158" t="s">
        <v>8</v>
      </c>
      <c r="FH32" s="193"/>
      <c r="FI32" s="159"/>
      <c r="FJ32" s="33"/>
      <c r="FK32" s="160"/>
      <c r="FL32" s="151" t="s">
        <v>8</v>
      </c>
      <c r="FM32" s="158" t="s">
        <v>8</v>
      </c>
      <c r="FN32" s="193"/>
      <c r="FO32" s="159"/>
      <c r="FP32" s="33"/>
      <c r="FQ32" s="160"/>
      <c r="FR32" s="151" t="s">
        <v>8</v>
      </c>
      <c r="FS32" s="158" t="s">
        <v>8</v>
      </c>
      <c r="FT32" s="193"/>
      <c r="FU32" s="159"/>
      <c r="FV32" s="33"/>
      <c r="FW32" s="160"/>
      <c r="FX32" s="151" t="s">
        <v>8</v>
      </c>
      <c r="FY32" s="158" t="s">
        <v>8</v>
      </c>
      <c r="FZ32" s="193"/>
      <c r="GA32" s="159"/>
      <c r="GB32" s="33"/>
      <c r="GC32" s="160"/>
      <c r="GD32" s="151" t="s">
        <v>8</v>
      </c>
      <c r="GE32" s="158" t="s">
        <v>8</v>
      </c>
      <c r="GF32" s="193"/>
      <c r="GG32" s="159"/>
      <c r="GH32" s="33"/>
      <c r="GI32" s="162"/>
      <c r="GJ32" s="189">
        <f t="shared" si="228"/>
        <v>0</v>
      </c>
      <c r="GK32" s="190">
        <f t="shared" si="177"/>
        <v>0</v>
      </c>
      <c r="GL32" s="280"/>
      <c r="GM32" s="191"/>
    </row>
    <row r="33" spans="1:196" s="29" customFormat="1" ht="16.5" thickBot="1" x14ac:dyDescent="0.3">
      <c r="A33" s="98" t="s">
        <v>6</v>
      </c>
      <c r="B33" s="126">
        <v>56267155</v>
      </c>
      <c r="C33" s="124">
        <v>40</v>
      </c>
      <c r="D33" s="80">
        <f>B33*C33/100</f>
        <v>22506862</v>
      </c>
      <c r="E33" s="105">
        <f>100-C33</f>
        <v>60</v>
      </c>
      <c r="F33" s="80">
        <f>B33-D33</f>
        <v>33760293</v>
      </c>
      <c r="G33" s="104">
        <f>SUM(G9:G32)</f>
        <v>38401</v>
      </c>
      <c r="H33" s="351">
        <f>SUM(H9:H32)</f>
        <v>50248873.549999997</v>
      </c>
      <c r="I33" s="45" t="s">
        <v>8</v>
      </c>
      <c r="J33" s="186">
        <f>H33/G33</f>
        <v>1308.5303390536703</v>
      </c>
      <c r="K33" s="115" t="s">
        <v>8</v>
      </c>
      <c r="L33" s="77">
        <f>SUM(L9:L32)</f>
        <v>22506862</v>
      </c>
      <c r="M33" s="73" t="s">
        <v>8</v>
      </c>
      <c r="N33" s="46">
        <f>(SUMIF(M9:M32,"&lt;1")+1)/(COUNTIFS(M9:M32,"&lt;1")+1)</f>
        <v>0.44449774428648797</v>
      </c>
      <c r="O33" s="47" t="s">
        <v>8</v>
      </c>
      <c r="P33" s="44">
        <f>SUM(P9:P32)</f>
        <v>9316685.8940054327</v>
      </c>
      <c r="Q33" s="44">
        <f>SUM(Q9:Q32)</f>
        <v>9316685.8940054327</v>
      </c>
      <c r="R33" s="86">
        <f>F33-Q33</f>
        <v>24443607.105994567</v>
      </c>
      <c r="S33" s="46">
        <f>(SUMIF(T9:T32,"&lt;1")+1)/(COUNTIFS(T9:T32,"&lt;1")+1)</f>
        <v>0.56430878151483055</v>
      </c>
      <c r="T33" s="47" t="s">
        <v>8</v>
      </c>
      <c r="U33" s="47" t="s">
        <v>8</v>
      </c>
      <c r="V33" s="44">
        <f>SUM(V9:V32)</f>
        <v>6523451.9247603621</v>
      </c>
      <c r="W33" s="44">
        <f>SUM(W9:W32)</f>
        <v>6523451.9247603621</v>
      </c>
      <c r="X33" s="86">
        <f>R33-W33</f>
        <v>17920155.181234203</v>
      </c>
      <c r="Y33" s="46">
        <f>(SUMIF(Z9:Z32,"&lt;1")+1)/(COUNTIFS(Z9:Z32,"&lt;1")+1)</f>
        <v>0.6449017052177568</v>
      </c>
      <c r="Z33" s="47" t="s">
        <v>8</v>
      </c>
      <c r="AA33" s="47" t="s">
        <v>8</v>
      </c>
      <c r="AB33" s="44">
        <f>SUM(AB9:AB32)</f>
        <v>4712132.6629851758</v>
      </c>
      <c r="AC33" s="44">
        <f>SUM(AC9:AC32)</f>
        <v>4712132.6629851758</v>
      </c>
      <c r="AD33" s="86">
        <f>X33-AC33</f>
        <v>13208022.518249027</v>
      </c>
      <c r="AE33" s="46">
        <f>(SUMIF(AF9:AF32,"&lt;1")+1)/(COUNTIFS(AF9:AF32,"&lt;1")+1)</f>
        <v>0.70641402069910464</v>
      </c>
      <c r="AF33" s="47" t="s">
        <v>8</v>
      </c>
      <c r="AG33" s="47" t="s">
        <v>8</v>
      </c>
      <c r="AH33" s="44">
        <f>SUM(AH9:AH32)</f>
        <v>3690198.1643338404</v>
      </c>
      <c r="AI33" s="44">
        <f>SUM(AI9:AI32)</f>
        <v>3690198.1643338404</v>
      </c>
      <c r="AJ33" s="86">
        <f>AD33-AI33</f>
        <v>9517824.3539151866</v>
      </c>
      <c r="AK33" s="46">
        <f>(SUMIF(AL9:AL32,"&lt;1")+1)/(COUNTIFS(AL9:AL32,"&lt;1")+1)</f>
        <v>0.7521607660609243</v>
      </c>
      <c r="AL33" s="47" t="s">
        <v>8</v>
      </c>
      <c r="AM33" s="47" t="s">
        <v>8</v>
      </c>
      <c r="AN33" s="44">
        <f>SUM(AN9:AN32)</f>
        <v>2507674.9986092583</v>
      </c>
      <c r="AO33" s="44">
        <f>SUM(AO9:AO32)</f>
        <v>2507674.9986092583</v>
      </c>
      <c r="AP33" s="86">
        <f>AJ33-AO33</f>
        <v>7010149.3553059287</v>
      </c>
      <c r="AQ33" s="46">
        <f>(SUMIF(AR9:AR32,"&lt;1")+1)/(COUNTIFS(AR9:AR32,"&lt;1")+1)</f>
        <v>0.78512424645419099</v>
      </c>
      <c r="AR33" s="47" t="s">
        <v>8</v>
      </c>
      <c r="AS33" s="47" t="s">
        <v>8</v>
      </c>
      <c r="AT33" s="44">
        <f t="shared" ref="AT33:AU33" si="285">SUM(AT9:AT32)</f>
        <v>2089192.5288827862</v>
      </c>
      <c r="AU33" s="80">
        <f t="shared" si="285"/>
        <v>2089192.5288827862</v>
      </c>
      <c r="AV33" s="86">
        <f>AP33-AU33</f>
        <v>4920956.8264231421</v>
      </c>
      <c r="AW33" s="46">
        <f>(SUMIF(AX9:AX32,"&lt;1")+1)/(COUNTIFS(AX9:AX32,"&lt;1")+1)</f>
        <v>0.81048706870777787</v>
      </c>
      <c r="AX33" s="47" t="s">
        <v>8</v>
      </c>
      <c r="AY33" s="47" t="s">
        <v>8</v>
      </c>
      <c r="AZ33" s="44">
        <f>SUM(AZ9:AZ32)</f>
        <v>1687404.4958127043</v>
      </c>
      <c r="BA33" s="44">
        <f>SUM(BA9:BA32)</f>
        <v>1687404.4958127043</v>
      </c>
      <c r="BB33" s="86">
        <f>AV33-BA33</f>
        <v>3233552.3306104378</v>
      </c>
      <c r="BC33" s="46">
        <f>(SUMIF(BD9:BD32,"&lt;1")+1)/(COUNTIFS(BD9:BD32,"&lt;1")+1)</f>
        <v>0.83242584930055286</v>
      </c>
      <c r="BD33" s="47" t="s">
        <v>8</v>
      </c>
      <c r="BE33" s="47" t="s">
        <v>8</v>
      </c>
      <c r="BF33" s="44">
        <f>SUM(BF9:BF32)</f>
        <v>1626137.5080122799</v>
      </c>
      <c r="BG33" s="44">
        <f>SUM(BG9:BG32)</f>
        <v>1626137.5080122799</v>
      </c>
      <c r="BH33" s="86">
        <f>BB33-BG33</f>
        <v>1607414.8225981579</v>
      </c>
      <c r="BI33" s="46">
        <f>(SUMIF(BJ9:BJ32,"&lt;1")+1)/(COUNTIFS(BJ9:BJ32,"&lt;1")+1)</f>
        <v>0.85227775714108722</v>
      </c>
      <c r="BJ33" s="47" t="s">
        <v>8</v>
      </c>
      <c r="BK33" s="47" t="s">
        <v>8</v>
      </c>
      <c r="BL33" s="44">
        <f>SUM(BL9:BL32)</f>
        <v>1369134.201186677</v>
      </c>
      <c r="BM33" s="44">
        <f>SUM(BM9:BM32)</f>
        <v>1369134.201186677</v>
      </c>
      <c r="BN33" s="86">
        <f>BH33-BM33</f>
        <v>238280.62141148094</v>
      </c>
      <c r="BO33" s="46">
        <f>(SUMIF(BP9:BP32,"&lt;1")+1)/(COUNTIFS(BP9:BP32,"&lt;1")+1)</f>
        <v>0.86994646834372102</v>
      </c>
      <c r="BP33" s="47" t="s">
        <v>8</v>
      </c>
      <c r="BQ33" s="47" t="s">
        <v>8</v>
      </c>
      <c r="BR33" s="44">
        <f>SUM(BR9:BR32)</f>
        <v>1315947.2905137809</v>
      </c>
      <c r="BS33" s="44">
        <f>SUM(BS9:BS32)</f>
        <v>238280.621411481</v>
      </c>
      <c r="BT33" s="86">
        <f>BN33-BS33</f>
        <v>0</v>
      </c>
      <c r="BU33" s="46">
        <f>(SUMIF(BV9:BV32,"&lt;1")+1)/(COUNTIFS(BV9:BV32,"&lt;1")+1)</f>
        <v>0.87282838366986171</v>
      </c>
      <c r="BV33" s="47" t="s">
        <v>8</v>
      </c>
      <c r="BW33" s="47" t="s">
        <v>8</v>
      </c>
      <c r="BX33" s="44">
        <f>SUM(BX9:BX32)</f>
        <v>1224658.3495797645</v>
      </c>
      <c r="BY33" s="44">
        <f>SUM(BY9:BY32)</f>
        <v>0</v>
      </c>
      <c r="BZ33" s="86">
        <f>BT33-BY33</f>
        <v>0</v>
      </c>
      <c r="CA33" s="46">
        <f>(SUMIF(CB9:CB32,"&lt;1")+1)/(COUNTIFS(CB9:CB32,"&lt;1")+1)</f>
        <v>0.87282838366986171</v>
      </c>
      <c r="CB33" s="47" t="s">
        <v>8</v>
      </c>
      <c r="CC33" s="47" t="s">
        <v>8</v>
      </c>
      <c r="CD33" s="44">
        <f>SUM(CD9:CD32)</f>
        <v>1224658.3495797645</v>
      </c>
      <c r="CE33" s="44">
        <f>SUM(CE9:CE32)</f>
        <v>0</v>
      </c>
      <c r="CF33" s="86">
        <f>BZ33-CE33</f>
        <v>0</v>
      </c>
      <c r="CG33" s="46">
        <f>(SUMIF(CH9:CH32,"&lt;1")+1)/(COUNTIFS(CH9:CH32,"&lt;1")+1)</f>
        <v>0.87282838366986171</v>
      </c>
      <c r="CH33" s="47" t="s">
        <v>8</v>
      </c>
      <c r="CI33" s="47" t="s">
        <v>8</v>
      </c>
      <c r="CJ33" s="44">
        <f>SUM(CJ9:CJ32)</f>
        <v>1224658.3495797645</v>
      </c>
      <c r="CK33" s="44">
        <f>SUM(CK9:CK32)</f>
        <v>0</v>
      </c>
      <c r="CL33" s="86">
        <f>CF33-CK33</f>
        <v>0</v>
      </c>
      <c r="CM33" s="46">
        <f>(SUMIF(CN9:CN32,"&lt;1")+1)/(COUNTIFS(CN9:CN32,"&lt;1")+1)</f>
        <v>0.87282838366986171</v>
      </c>
      <c r="CN33" s="47" t="s">
        <v>8</v>
      </c>
      <c r="CO33" s="47" t="s">
        <v>8</v>
      </c>
      <c r="CP33" s="44">
        <f>SUM(CP9:CP32)</f>
        <v>1224658.3495797645</v>
      </c>
      <c r="CQ33" s="44">
        <f>SUM(CQ9:CQ32)</f>
        <v>0</v>
      </c>
      <c r="CR33" s="86">
        <f>CL33-CQ33</f>
        <v>0</v>
      </c>
      <c r="CS33" s="46">
        <f>(SUMIF(CT9:CT32,"&lt;1")+1)/(COUNTIFS(CT9:CT32,"&lt;1")+1)</f>
        <v>0.87282838366986171</v>
      </c>
      <c r="CT33" s="47" t="s">
        <v>8</v>
      </c>
      <c r="CU33" s="47" t="s">
        <v>8</v>
      </c>
      <c r="CV33" s="44">
        <f>SUM(CV9:CV32)</f>
        <v>1224658.3495797645</v>
      </c>
      <c r="CW33" s="44">
        <f>SUM(CW9:CW32)</f>
        <v>0</v>
      </c>
      <c r="CX33" s="86">
        <f>CR33-CW33</f>
        <v>0</v>
      </c>
      <c r="CY33" s="46">
        <f>(SUMIF(CZ9:CZ32,"&lt;1")+1)/(COUNTIFS(CZ9:CZ32,"&lt;1")+1)</f>
        <v>0.87282838366986171</v>
      </c>
      <c r="CZ33" s="47" t="s">
        <v>8</v>
      </c>
      <c r="DA33" s="47" t="s">
        <v>8</v>
      </c>
      <c r="DB33" s="44">
        <f>SUM(DB9:DB32)</f>
        <v>1224658.3495797645</v>
      </c>
      <c r="DC33" s="44">
        <f>SUM(DC9:DC32)</f>
        <v>0</v>
      </c>
      <c r="DD33" s="86">
        <f>CX33-DC33</f>
        <v>0</v>
      </c>
      <c r="DE33" s="46">
        <f>(SUMIF(DF9:DF32,"&lt;1")+1)/(COUNTIFS(DF9:DF32,"&lt;1")+1)</f>
        <v>0.87282838366986171</v>
      </c>
      <c r="DF33" s="47" t="s">
        <v>8</v>
      </c>
      <c r="DG33" s="47" t="s">
        <v>8</v>
      </c>
      <c r="DH33" s="44">
        <f>SUM(DH9:DH32)</f>
        <v>1224658.3495797645</v>
      </c>
      <c r="DI33" s="44">
        <f>SUM(DI9:DI32)</f>
        <v>0</v>
      </c>
      <c r="DJ33" s="86">
        <f>DD33-DI33</f>
        <v>0</v>
      </c>
      <c r="DK33" s="46">
        <f>(SUMIF(DL9:DL32,"&lt;1")+1)/(COUNTIFS(DL9:DL32,"&lt;1")+1)</f>
        <v>0.87282838366986171</v>
      </c>
      <c r="DL33" s="47" t="s">
        <v>8</v>
      </c>
      <c r="DM33" s="47" t="s">
        <v>8</v>
      </c>
      <c r="DN33" s="44">
        <f>SUM(DN9:DN32)</f>
        <v>1224658.3495797645</v>
      </c>
      <c r="DO33" s="44">
        <f>SUM(DO9:DO32)</f>
        <v>0</v>
      </c>
      <c r="DP33" s="86">
        <f>DJ33-DO33</f>
        <v>0</v>
      </c>
      <c r="DQ33" s="46">
        <f>(SUMIF(DR9:DR32,"&lt;1")+1)/(COUNTIFS(DR9:DR32,"&lt;1")+1)</f>
        <v>0.87282838366986171</v>
      </c>
      <c r="DR33" s="47" t="s">
        <v>8</v>
      </c>
      <c r="DS33" s="47" t="s">
        <v>8</v>
      </c>
      <c r="DT33" s="44">
        <f>SUM(DT9:DT32)</f>
        <v>1224658.3495797645</v>
      </c>
      <c r="DU33" s="44">
        <f>SUM(DU9:DU32)</f>
        <v>0</v>
      </c>
      <c r="DV33" s="86">
        <f>DP33-DU33</f>
        <v>0</v>
      </c>
      <c r="DW33" s="46">
        <f>(SUMIF(DX9:DX32,"&lt;1")+1)/(COUNTIFS(DX9:DX32,"&lt;1")+1)</f>
        <v>0.87282838366986171</v>
      </c>
      <c r="DX33" s="47" t="s">
        <v>8</v>
      </c>
      <c r="DY33" s="47" t="s">
        <v>8</v>
      </c>
      <c r="DZ33" s="163">
        <f>SUM(DZ9:DZ32)</f>
        <v>1224658.3495797645</v>
      </c>
      <c r="EA33" s="44">
        <f>SUM(EA9:EA32)</f>
        <v>0</v>
      </c>
      <c r="EB33" s="86">
        <f>DV33-EA33</f>
        <v>0</v>
      </c>
      <c r="EC33" s="46">
        <f>(SUMIF(ED9:ED32,"&lt;1")+1)/(COUNTIFS(ED9:ED32,"&lt;1")+1)</f>
        <v>0.87282838366986171</v>
      </c>
      <c r="ED33" s="47" t="s">
        <v>8</v>
      </c>
      <c r="EE33" s="47" t="s">
        <v>8</v>
      </c>
      <c r="EF33" s="163">
        <f>SUM(EF9:EF32)</f>
        <v>1224658.3495797645</v>
      </c>
      <c r="EG33" s="44">
        <f>SUM(EG9:EG32)</f>
        <v>0</v>
      </c>
      <c r="EH33" s="86">
        <f>EB33-EG33</f>
        <v>0</v>
      </c>
      <c r="EI33" s="46">
        <f>(SUMIF(EJ9:EJ32,"&lt;1")+1)/(COUNTIFS(EJ9:EJ32,"&lt;1")+1)</f>
        <v>0.87282838366986171</v>
      </c>
      <c r="EJ33" s="47" t="s">
        <v>8</v>
      </c>
      <c r="EK33" s="47" t="s">
        <v>8</v>
      </c>
      <c r="EL33" s="163">
        <f>SUM(EL9:EL32)</f>
        <v>1224658.3495797645</v>
      </c>
      <c r="EM33" s="44">
        <f>SUM(EM9:EM32)</f>
        <v>0</v>
      </c>
      <c r="EN33" s="86">
        <f>EH33-EM33</f>
        <v>0</v>
      </c>
      <c r="EO33" s="46">
        <f>(SUMIF(EP9:EP32,"&lt;1")+1)/(COUNTIFS(EP9:EP32,"&lt;1")+1)</f>
        <v>0.87282838366986171</v>
      </c>
      <c r="EP33" s="47" t="s">
        <v>8</v>
      </c>
      <c r="EQ33" s="47" t="s">
        <v>8</v>
      </c>
      <c r="ER33" s="163">
        <f>SUM(ER9:ER32)</f>
        <v>1224658.3495797645</v>
      </c>
      <c r="ES33" s="44">
        <f>SUM(ES9:ES32)</f>
        <v>0</v>
      </c>
      <c r="ET33" s="86">
        <f>EN33-ES33</f>
        <v>0</v>
      </c>
      <c r="EU33" s="46">
        <f>(SUMIF(EV9:EV32,"&lt;1")+1)/(COUNTIFS(EV9:EV32,"&lt;1")+1)</f>
        <v>0.87282838366986171</v>
      </c>
      <c r="EV33" s="47" t="s">
        <v>8</v>
      </c>
      <c r="EW33" s="47" t="s">
        <v>8</v>
      </c>
      <c r="EX33" s="163">
        <f>SUM(EX9:EX32)</f>
        <v>1224658.3495797645</v>
      </c>
      <c r="EY33" s="44">
        <f>SUM(EY9:EY32)</f>
        <v>0</v>
      </c>
      <c r="EZ33" s="86">
        <f>ET33-EY33</f>
        <v>0</v>
      </c>
      <c r="FA33" s="46">
        <f>(SUMIF(FB9:FB32,"&lt;1")+1)/(COUNTIFS(FB9:FB32,"&lt;1")+1)</f>
        <v>0.87282838366986171</v>
      </c>
      <c r="FB33" s="47" t="s">
        <v>8</v>
      </c>
      <c r="FC33" s="47" t="s">
        <v>8</v>
      </c>
      <c r="FD33" s="163">
        <f>SUM(FD9:FD32)</f>
        <v>1224658.3495797645</v>
      </c>
      <c r="FE33" s="44">
        <f>SUM(FE9:FE32)</f>
        <v>0</v>
      </c>
      <c r="FF33" s="86">
        <f>EZ33-FE33</f>
        <v>0</v>
      </c>
      <c r="FG33" s="46">
        <f>(SUMIF(FH9:FH32,"&lt;1")+1)/(COUNTIFS(FH9:FH32,"&lt;1")+1)</f>
        <v>0.87282838366986171</v>
      </c>
      <c r="FH33" s="47" t="s">
        <v>8</v>
      </c>
      <c r="FI33" s="47" t="s">
        <v>8</v>
      </c>
      <c r="FJ33" s="163">
        <f>SUM(FJ9:FJ32)</f>
        <v>1224658.3495797645</v>
      </c>
      <c r="FK33" s="44">
        <f>SUM(FK9:FK32)</f>
        <v>0</v>
      </c>
      <c r="FL33" s="86">
        <f>FF33-FK33</f>
        <v>0</v>
      </c>
      <c r="FM33" s="46">
        <f>(SUMIF(FN9:FN32,"&lt;1")+1)/(COUNTIFS(FN9:FN32,"&lt;1")+1)</f>
        <v>0.87282838366986171</v>
      </c>
      <c r="FN33" s="47" t="s">
        <v>8</v>
      </c>
      <c r="FO33" s="47" t="s">
        <v>8</v>
      </c>
      <c r="FP33" s="163">
        <f>SUM(FP9:FP32)</f>
        <v>1224658.3495797645</v>
      </c>
      <c r="FQ33" s="44">
        <f>SUM(FQ9:FQ32)</f>
        <v>0</v>
      </c>
      <c r="FR33" s="86">
        <f>FL33-FQ33</f>
        <v>0</v>
      </c>
      <c r="FS33" s="46">
        <f>(SUMIF(FT9:FT32,"&lt;1")+1)/(COUNTIFS(FT9:FT32,"&lt;1")+1)</f>
        <v>0.87282838366986171</v>
      </c>
      <c r="FT33" s="47" t="s">
        <v>8</v>
      </c>
      <c r="FU33" s="47" t="s">
        <v>8</v>
      </c>
      <c r="FV33" s="163">
        <f>SUM(FV9:FV32)</f>
        <v>1224658.3495797645</v>
      </c>
      <c r="FW33" s="44">
        <f>SUM(FW9:FW32)</f>
        <v>0</v>
      </c>
      <c r="FX33" s="86">
        <f>FR33-FW33</f>
        <v>0</v>
      </c>
      <c r="FY33" s="46">
        <f>(SUMIF(FZ9:FZ32,"&lt;1")+1)/(COUNTIFS(FZ9:FZ32,"&lt;1")+1)</f>
        <v>0.87282838366986171</v>
      </c>
      <c r="FZ33" s="47" t="s">
        <v>8</v>
      </c>
      <c r="GA33" s="47" t="s">
        <v>8</v>
      </c>
      <c r="GB33" s="163">
        <f>SUM(GB9:GB32)</f>
        <v>1224658.3495797645</v>
      </c>
      <c r="GC33" s="44">
        <f>SUM(GC9:GC32)</f>
        <v>0</v>
      </c>
      <c r="GD33" s="86">
        <f>FX33-GC33</f>
        <v>0</v>
      </c>
      <c r="GE33" s="46">
        <f>(SUMIF(GF9:GF32,"&lt;1")+1)/(COUNTIFS(GF9:GF32,"&lt;1")+1)</f>
        <v>0.87282838366986171</v>
      </c>
      <c r="GF33" s="47" t="s">
        <v>8</v>
      </c>
      <c r="GG33" s="47" t="s">
        <v>8</v>
      </c>
      <c r="GH33" s="163">
        <f>SUM(GH9:GH32)</f>
        <v>1224658.3495797645</v>
      </c>
      <c r="GI33" s="44">
        <f>SUM(GI9:GI32)</f>
        <v>0</v>
      </c>
      <c r="GJ33" s="195">
        <f>SUM(GJ9:GJ32)</f>
        <v>33760292.999999993</v>
      </c>
      <c r="GK33" s="197">
        <f t="shared" si="177"/>
        <v>56267154.999999993</v>
      </c>
      <c r="GL33" s="281">
        <f>SUM(GL9:GL32)</f>
        <v>56267155.000000007</v>
      </c>
      <c r="GM33" s="198" t="s">
        <v>8</v>
      </c>
      <c r="GN33" s="25"/>
    </row>
    <row r="35" spans="1:196" x14ac:dyDescent="0.2">
      <c r="P35" s="24"/>
      <c r="GK35" s="130">
        <f>GK33-B33</f>
        <v>0</v>
      </c>
      <c r="GL35" s="130"/>
    </row>
    <row r="37" spans="1:196" x14ac:dyDescent="0.2">
      <c r="GJ37" s="130"/>
      <c r="GK37" s="130"/>
      <c r="GL37" s="130"/>
    </row>
    <row r="38" spans="1:196" x14ac:dyDescent="0.2">
      <c r="M38" s="23"/>
    </row>
  </sheetData>
  <protectedRanges>
    <protectedRange sqref="A9:A32" name="Диапазон3_1"/>
    <protectedRange sqref="A9:A32" name="Диапазон2_1"/>
  </protectedRanges>
  <autoFilter ref="A8:GN33"/>
  <mergeCells count="49"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L3:GL5"/>
    <mergeCell ref="FF4:FK4"/>
    <mergeCell ref="FL4:FQ4"/>
    <mergeCell ref="FR4:FW4"/>
    <mergeCell ref="FX4:GC4"/>
    <mergeCell ref="GD4:GI4"/>
    <mergeCell ref="GJ3:GJ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BUD-Mezenceva</cp:lastModifiedBy>
  <cp:lastPrinted>2023-10-11T11:29:28Z</cp:lastPrinted>
  <dcterms:created xsi:type="dcterms:W3CDTF">2013-11-15T09:40:24Z</dcterms:created>
  <dcterms:modified xsi:type="dcterms:W3CDTF">2023-10-11T11:48:12Z</dcterms:modified>
</cp:coreProperties>
</file>