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Новая папка\программа Развития сц-культ сферы\ПРОГРАММА 2019-2027\март 2025 Культура\"/>
    </mc:Choice>
  </mc:AlternateContent>
  <bookViews>
    <workbookView xWindow="0" yWindow="0" windowWidth="28800" windowHeight="12330" tabRatio="599"/>
  </bookViews>
  <sheets>
    <sheet name="24 факт, 2025-2027 на 28.02.25" sheetId="4" r:id="rId1"/>
  </sheets>
  <definedNames>
    <definedName name="_xlnm.Print_Area" localSheetId="0">'24 факт, 2025-2027 на 28.02.25'!$A$2:$AB$291</definedName>
  </definedNames>
  <calcPr calcId="162913" iterate="1"/>
</workbook>
</file>

<file path=xl/calcChain.xml><?xml version="1.0" encoding="utf-8"?>
<calcChain xmlns="http://schemas.openxmlformats.org/spreadsheetml/2006/main">
  <c r="N97" i="4" l="1"/>
  <c r="N98" i="4"/>
  <c r="N61" i="4"/>
  <c r="N141" i="4"/>
  <c r="N144" i="4"/>
  <c r="N212" i="4"/>
  <c r="N187" i="4" l="1"/>
  <c r="O188" i="4"/>
  <c r="O189" i="4"/>
  <c r="N188" i="4"/>
  <c r="O29" i="4" l="1"/>
  <c r="N28" i="4"/>
  <c r="N29" i="4"/>
  <c r="G287" i="4"/>
  <c r="G285" i="4" s="1"/>
  <c r="G286" i="4"/>
  <c r="P285" i="4"/>
  <c r="O285" i="4"/>
  <c r="N285" i="4"/>
  <c r="M285" i="4"/>
  <c r="L285" i="4"/>
  <c r="K285" i="4"/>
  <c r="J285" i="4"/>
  <c r="I285" i="4"/>
  <c r="H285" i="4"/>
  <c r="P284" i="4"/>
  <c r="O284" i="4"/>
  <c r="O282" i="4" s="1"/>
  <c r="N284" i="4"/>
  <c r="M284" i="4"/>
  <c r="L284" i="4"/>
  <c r="K284" i="4"/>
  <c r="J284" i="4"/>
  <c r="I284" i="4"/>
  <c r="I282" i="4" s="1"/>
  <c r="H284" i="4"/>
  <c r="P283" i="4"/>
  <c r="P282" i="4" s="1"/>
  <c r="O283" i="4"/>
  <c r="N283" i="4"/>
  <c r="M283" i="4"/>
  <c r="L283" i="4"/>
  <c r="L282" i="4" s="1"/>
  <c r="K283" i="4"/>
  <c r="K282" i="4" s="1"/>
  <c r="J283" i="4"/>
  <c r="I283" i="4"/>
  <c r="H283" i="4"/>
  <c r="N282" i="4"/>
  <c r="M282" i="4"/>
  <c r="H282" i="4"/>
  <c r="K281" i="4"/>
  <c r="G281" i="4" s="1"/>
  <c r="K280" i="4"/>
  <c r="G280" i="4" s="1"/>
  <c r="G279" i="4" s="1"/>
  <c r="P279" i="4"/>
  <c r="N279" i="4"/>
  <c r="M279" i="4"/>
  <c r="L279" i="4"/>
  <c r="K279" i="4"/>
  <c r="J279" i="4"/>
  <c r="I279" i="4"/>
  <c r="H279" i="4"/>
  <c r="P278" i="4"/>
  <c r="N278" i="4"/>
  <c r="M278" i="4"/>
  <c r="L278" i="4"/>
  <c r="J278" i="4"/>
  <c r="I278" i="4"/>
  <c r="H278" i="4"/>
  <c r="P277" i="4"/>
  <c r="N277" i="4"/>
  <c r="M277" i="4"/>
  <c r="L277" i="4"/>
  <c r="L276" i="4" s="1"/>
  <c r="J277" i="4"/>
  <c r="J276" i="4" s="1"/>
  <c r="I277" i="4"/>
  <c r="H277" i="4"/>
  <c r="H276" i="4" s="1"/>
  <c r="K275" i="4"/>
  <c r="G275" i="4" s="1"/>
  <c r="G274" i="4"/>
  <c r="P273" i="4"/>
  <c r="N273" i="4"/>
  <c r="M273" i="4"/>
  <c r="L273" i="4"/>
  <c r="J273" i="4"/>
  <c r="I273" i="4"/>
  <c r="H273" i="4"/>
  <c r="G272" i="4"/>
  <c r="G271" i="4"/>
  <c r="G270" i="4" s="1"/>
  <c r="P270" i="4"/>
  <c r="N270" i="4"/>
  <c r="M270" i="4"/>
  <c r="L270" i="4"/>
  <c r="K270" i="4"/>
  <c r="J270" i="4"/>
  <c r="I270" i="4"/>
  <c r="H270" i="4"/>
  <c r="G269" i="4"/>
  <c r="G268" i="4"/>
  <c r="P267" i="4"/>
  <c r="N267" i="4"/>
  <c r="M267" i="4"/>
  <c r="L267" i="4"/>
  <c r="K267" i="4"/>
  <c r="J267" i="4"/>
  <c r="I267" i="4"/>
  <c r="H267" i="4"/>
  <c r="I266" i="4"/>
  <c r="G266" i="4" s="1"/>
  <c r="G265" i="4"/>
  <c r="P264" i="4"/>
  <c r="N264" i="4"/>
  <c r="M264" i="4"/>
  <c r="L264" i="4"/>
  <c r="K264" i="4"/>
  <c r="J264" i="4"/>
  <c r="H264" i="4"/>
  <c r="G263" i="4"/>
  <c r="G262" i="4"/>
  <c r="G261" i="4" s="1"/>
  <c r="P261" i="4"/>
  <c r="N261" i="4"/>
  <c r="M261" i="4"/>
  <c r="L261" i="4"/>
  <c r="K261" i="4"/>
  <c r="J261" i="4"/>
  <c r="I261" i="4"/>
  <c r="H261" i="4"/>
  <c r="G260" i="4"/>
  <c r="G259" i="4"/>
  <c r="P258" i="4"/>
  <c r="N258" i="4"/>
  <c r="M258" i="4"/>
  <c r="L258" i="4"/>
  <c r="K258" i="4"/>
  <c r="J258" i="4"/>
  <c r="I258" i="4"/>
  <c r="H258" i="4"/>
  <c r="P257" i="4"/>
  <c r="P255" i="4" s="1"/>
  <c r="N257" i="4"/>
  <c r="M257" i="4"/>
  <c r="L257" i="4"/>
  <c r="J257" i="4"/>
  <c r="I257" i="4"/>
  <c r="H257" i="4"/>
  <c r="P256" i="4"/>
  <c r="N256" i="4"/>
  <c r="N255" i="4" s="1"/>
  <c r="M256" i="4"/>
  <c r="M255" i="4" s="1"/>
  <c r="L256" i="4"/>
  <c r="L255" i="4" s="1"/>
  <c r="K256" i="4"/>
  <c r="J256" i="4"/>
  <c r="I256" i="4"/>
  <c r="H256" i="4"/>
  <c r="I255" i="4"/>
  <c r="K253" i="4"/>
  <c r="G253" i="4"/>
  <c r="K252" i="4"/>
  <c r="G252" i="4"/>
  <c r="P251" i="4"/>
  <c r="O251" i="4"/>
  <c r="N251" i="4"/>
  <c r="M251" i="4"/>
  <c r="L251" i="4"/>
  <c r="K251" i="4"/>
  <c r="J251" i="4"/>
  <c r="I251" i="4"/>
  <c r="H251" i="4"/>
  <c r="G251" i="4"/>
  <c r="P250" i="4"/>
  <c r="O250" i="4"/>
  <c r="N250" i="4"/>
  <c r="M250" i="4"/>
  <c r="L250" i="4"/>
  <c r="L248" i="4" s="1"/>
  <c r="K250" i="4"/>
  <c r="J250" i="4"/>
  <c r="I250" i="4"/>
  <c r="H250" i="4"/>
  <c r="P249" i="4"/>
  <c r="O249" i="4"/>
  <c r="O248" i="4" s="1"/>
  <c r="N249" i="4"/>
  <c r="M249" i="4"/>
  <c r="L249" i="4"/>
  <c r="K249" i="4"/>
  <c r="J249" i="4"/>
  <c r="I249" i="4"/>
  <c r="I248" i="4" s="1"/>
  <c r="H249" i="4"/>
  <c r="H248" i="4" s="1"/>
  <c r="P248" i="4"/>
  <c r="N248" i="4"/>
  <c r="M248" i="4"/>
  <c r="K248" i="4"/>
  <c r="K247" i="4"/>
  <c r="K245" i="4" s="1"/>
  <c r="G246" i="4"/>
  <c r="P245" i="4"/>
  <c r="O245" i="4"/>
  <c r="N245" i="4"/>
  <c r="M245" i="4"/>
  <c r="L245" i="4"/>
  <c r="J245" i="4"/>
  <c r="I245" i="4"/>
  <c r="H245" i="4"/>
  <c r="G244" i="4"/>
  <c r="G242" i="4" s="1"/>
  <c r="G243" i="4"/>
  <c r="P242" i="4"/>
  <c r="O242" i="4"/>
  <c r="N242" i="4"/>
  <c r="M242" i="4"/>
  <c r="L242" i="4"/>
  <c r="K242" i="4"/>
  <c r="J242" i="4"/>
  <c r="I242" i="4"/>
  <c r="H242" i="4"/>
  <c r="G241" i="4"/>
  <c r="G240" i="4"/>
  <c r="P239" i="4"/>
  <c r="O239" i="4"/>
  <c r="N239" i="4"/>
  <c r="M239" i="4"/>
  <c r="L239" i="4"/>
  <c r="K239" i="4"/>
  <c r="J239" i="4"/>
  <c r="I239" i="4"/>
  <c r="H239" i="4"/>
  <c r="I238" i="4"/>
  <c r="G238" i="4" s="1"/>
  <c r="G237" i="4"/>
  <c r="P236" i="4"/>
  <c r="O236" i="4"/>
  <c r="N236" i="4"/>
  <c r="M236" i="4"/>
  <c r="L236" i="4"/>
  <c r="K236" i="4"/>
  <c r="J236" i="4"/>
  <c r="I236" i="4"/>
  <c r="H236" i="4"/>
  <c r="G235" i="4"/>
  <c r="G234" i="4"/>
  <c r="G233" i="4" s="1"/>
  <c r="P233" i="4"/>
  <c r="O233" i="4"/>
  <c r="N233" i="4"/>
  <c r="M233" i="4"/>
  <c r="L233" i="4"/>
  <c r="K233" i="4"/>
  <c r="J233" i="4"/>
  <c r="I233" i="4"/>
  <c r="H233" i="4"/>
  <c r="G232" i="4"/>
  <c r="G231" i="4"/>
  <c r="G230" i="4" s="1"/>
  <c r="P230" i="4"/>
  <c r="O230" i="4"/>
  <c r="N230" i="4"/>
  <c r="M230" i="4"/>
  <c r="L230" i="4"/>
  <c r="K230" i="4"/>
  <c r="J230" i="4"/>
  <c r="I230" i="4"/>
  <c r="H230" i="4"/>
  <c r="P229" i="4"/>
  <c r="O229" i="4"/>
  <c r="N229" i="4"/>
  <c r="M229" i="4"/>
  <c r="M227" i="4" s="1"/>
  <c r="L229" i="4"/>
  <c r="L227" i="4" s="1"/>
  <c r="K229" i="4"/>
  <c r="J229" i="4"/>
  <c r="I229" i="4"/>
  <c r="H229" i="4"/>
  <c r="P228" i="4"/>
  <c r="O228" i="4"/>
  <c r="N228" i="4"/>
  <c r="N227" i="4" s="1"/>
  <c r="M228" i="4"/>
  <c r="L228" i="4"/>
  <c r="K228" i="4"/>
  <c r="K227" i="4" s="1"/>
  <c r="J228" i="4"/>
  <c r="J227" i="4" s="1"/>
  <c r="I228" i="4"/>
  <c r="I227" i="4" s="1"/>
  <c r="H228" i="4"/>
  <c r="P227" i="4"/>
  <c r="O227" i="4"/>
  <c r="G225" i="4"/>
  <c r="G223" i="4" s="1"/>
  <c r="G224" i="4"/>
  <c r="P223" i="4"/>
  <c r="O223" i="4"/>
  <c r="N223" i="4"/>
  <c r="M223" i="4"/>
  <c r="L223" i="4"/>
  <c r="K223" i="4"/>
  <c r="J223" i="4"/>
  <c r="I223" i="4"/>
  <c r="H223" i="4"/>
  <c r="G222" i="4"/>
  <c r="G221" i="4"/>
  <c r="G220" i="4" s="1"/>
  <c r="P220" i="4"/>
  <c r="O220" i="4"/>
  <c r="N220" i="4"/>
  <c r="M220" i="4"/>
  <c r="L220" i="4"/>
  <c r="K220" i="4"/>
  <c r="J220" i="4"/>
  <c r="I220" i="4"/>
  <c r="H220" i="4"/>
  <c r="G219" i="4"/>
  <c r="G218" i="4"/>
  <c r="G217" i="4" s="1"/>
  <c r="P217" i="4"/>
  <c r="O217" i="4"/>
  <c r="N217" i="4"/>
  <c r="M217" i="4"/>
  <c r="L217" i="4"/>
  <c r="K217" i="4"/>
  <c r="J217" i="4"/>
  <c r="I217" i="4"/>
  <c r="H217" i="4"/>
  <c r="L216" i="4"/>
  <c r="K216" i="4"/>
  <c r="K214" i="4" s="1"/>
  <c r="J216" i="4"/>
  <c r="G216" i="4" s="1"/>
  <c r="M215" i="4"/>
  <c r="M214" i="4" s="1"/>
  <c r="L215" i="4"/>
  <c r="L214" i="4" s="1"/>
  <c r="K215" i="4"/>
  <c r="J215" i="4"/>
  <c r="P214" i="4"/>
  <c r="O214" i="4"/>
  <c r="N214" i="4"/>
  <c r="I214" i="4"/>
  <c r="H214" i="4"/>
  <c r="L213" i="4"/>
  <c r="L211" i="4" s="1"/>
  <c r="K213" i="4"/>
  <c r="K207" i="4" s="1"/>
  <c r="J213" i="4"/>
  <c r="M212" i="4"/>
  <c r="M206" i="4" s="1"/>
  <c r="L212" i="4"/>
  <c r="L206" i="4" s="1"/>
  <c r="K212" i="4"/>
  <c r="K211" i="4" s="1"/>
  <c r="J212" i="4"/>
  <c r="J206" i="4" s="1"/>
  <c r="P211" i="4"/>
  <c r="O211" i="4"/>
  <c r="N211" i="4"/>
  <c r="I211" i="4"/>
  <c r="H211" i="4"/>
  <c r="G210" i="4"/>
  <c r="G209" i="4"/>
  <c r="G208" i="4" s="1"/>
  <c r="P208" i="4"/>
  <c r="O208" i="4"/>
  <c r="N208" i="4"/>
  <c r="M208" i="4"/>
  <c r="L208" i="4"/>
  <c r="K208" i="4"/>
  <c r="J208" i="4"/>
  <c r="I208" i="4"/>
  <c r="H208" i="4"/>
  <c r="P207" i="4"/>
  <c r="O207" i="4"/>
  <c r="O205" i="4" s="1"/>
  <c r="N207" i="4"/>
  <c r="M207" i="4"/>
  <c r="I207" i="4"/>
  <c r="H207" i="4"/>
  <c r="P206" i="4"/>
  <c r="O206" i="4"/>
  <c r="N206" i="4"/>
  <c r="I206" i="4"/>
  <c r="H206" i="4"/>
  <c r="H205" i="4" s="1"/>
  <c r="I205" i="4"/>
  <c r="G203" i="4"/>
  <c r="G202" i="4"/>
  <c r="G201" i="4" s="1"/>
  <c r="P201" i="4"/>
  <c r="O201" i="4"/>
  <c r="N201" i="4"/>
  <c r="M201" i="4"/>
  <c r="L201" i="4"/>
  <c r="K201" i="4"/>
  <c r="J201" i="4"/>
  <c r="I201" i="4"/>
  <c r="H201" i="4"/>
  <c r="G200" i="4"/>
  <c r="G199" i="4"/>
  <c r="P198" i="4"/>
  <c r="O198" i="4"/>
  <c r="N198" i="4"/>
  <c r="M198" i="4"/>
  <c r="L198" i="4"/>
  <c r="K198" i="4"/>
  <c r="J198" i="4"/>
  <c r="I198" i="4"/>
  <c r="H198" i="4"/>
  <c r="G197" i="4"/>
  <c r="G196" i="4"/>
  <c r="G195" i="4" s="1"/>
  <c r="P195" i="4"/>
  <c r="O195" i="4"/>
  <c r="N195" i="4"/>
  <c r="M195" i="4"/>
  <c r="L195" i="4"/>
  <c r="K195" i="4"/>
  <c r="J195" i="4"/>
  <c r="I195" i="4"/>
  <c r="H195" i="4"/>
  <c r="G194" i="4"/>
  <c r="G193" i="4"/>
  <c r="G192" i="4" s="1"/>
  <c r="P192" i="4"/>
  <c r="O192" i="4"/>
  <c r="N192" i="4"/>
  <c r="M192" i="4"/>
  <c r="L192" i="4"/>
  <c r="K192" i="4"/>
  <c r="J192" i="4"/>
  <c r="I192" i="4"/>
  <c r="H192" i="4"/>
  <c r="M191" i="4"/>
  <c r="M189" i="4" s="1"/>
  <c r="L191" i="4"/>
  <c r="K191" i="4"/>
  <c r="J191" i="4"/>
  <c r="L190" i="4"/>
  <c r="L189" i="4" s="1"/>
  <c r="K190" i="4"/>
  <c r="K189" i="4" s="1"/>
  <c r="J190" i="4"/>
  <c r="J189" i="4" s="1"/>
  <c r="P189" i="4"/>
  <c r="N189" i="4"/>
  <c r="I189" i="4"/>
  <c r="H189" i="4"/>
  <c r="M188" i="4"/>
  <c r="M176" i="4" s="1"/>
  <c r="L188" i="4"/>
  <c r="L186" i="4" s="1"/>
  <c r="K188" i="4"/>
  <c r="K176" i="4" s="1"/>
  <c r="J188" i="4"/>
  <c r="P187" i="4"/>
  <c r="P175" i="4" s="1"/>
  <c r="P174" i="4" s="1"/>
  <c r="O187" i="4"/>
  <c r="O186" i="4" s="1"/>
  <c r="M187" i="4"/>
  <c r="M186" i="4" s="1"/>
  <c r="L187" i="4"/>
  <c r="L175" i="4" s="1"/>
  <c r="L174" i="4" s="1"/>
  <c r="K187" i="4"/>
  <c r="J187" i="4"/>
  <c r="I187" i="4"/>
  <c r="N186" i="4"/>
  <c r="J186" i="4"/>
  <c r="H186" i="4"/>
  <c r="G185" i="4"/>
  <c r="G184" i="4"/>
  <c r="P183" i="4"/>
  <c r="O183" i="4"/>
  <c r="N183" i="4"/>
  <c r="M183" i="4"/>
  <c r="L183" i="4"/>
  <c r="K183" i="4"/>
  <c r="J183" i="4"/>
  <c r="I183" i="4"/>
  <c r="H183" i="4"/>
  <c r="G182" i="4"/>
  <c r="G181" i="4"/>
  <c r="P180" i="4"/>
  <c r="O180" i="4"/>
  <c r="N180" i="4"/>
  <c r="M180" i="4"/>
  <c r="L180" i="4"/>
  <c r="K180" i="4"/>
  <c r="I180" i="4"/>
  <c r="H180" i="4"/>
  <c r="G179" i="4"/>
  <c r="G178" i="4"/>
  <c r="G177" i="4" s="1"/>
  <c r="P177" i="4"/>
  <c r="O177" i="4"/>
  <c r="N177" i="4"/>
  <c r="M177" i="4"/>
  <c r="L177" i="4"/>
  <c r="K177" i="4"/>
  <c r="J177" i="4"/>
  <c r="I177" i="4"/>
  <c r="H177" i="4"/>
  <c r="P176" i="4"/>
  <c r="O176" i="4"/>
  <c r="N176" i="4"/>
  <c r="L176" i="4"/>
  <c r="J176" i="4"/>
  <c r="J174" i="4" s="1"/>
  <c r="I176" i="4"/>
  <c r="H176" i="4"/>
  <c r="O175" i="4"/>
  <c r="O174" i="4" s="1"/>
  <c r="N175" i="4"/>
  <c r="J175" i="4"/>
  <c r="I175" i="4"/>
  <c r="I174" i="4" s="1"/>
  <c r="H175" i="4"/>
  <c r="H174" i="4" s="1"/>
  <c r="N174" i="4"/>
  <c r="G172" i="4"/>
  <c r="G171" i="4"/>
  <c r="G170" i="4" s="1"/>
  <c r="P170" i="4"/>
  <c r="O170" i="4"/>
  <c r="N170" i="4"/>
  <c r="M170" i="4"/>
  <c r="L170" i="4"/>
  <c r="K170" i="4"/>
  <c r="J170" i="4"/>
  <c r="I170" i="4"/>
  <c r="H170" i="4"/>
  <c r="G169" i="4"/>
  <c r="G168" i="4"/>
  <c r="P167" i="4"/>
  <c r="O167" i="4"/>
  <c r="N167" i="4"/>
  <c r="M167" i="4"/>
  <c r="L167" i="4"/>
  <c r="K167" i="4"/>
  <c r="J167" i="4"/>
  <c r="I167" i="4"/>
  <c r="H167" i="4"/>
  <c r="M166" i="4"/>
  <c r="L166" i="4"/>
  <c r="K166" i="4"/>
  <c r="K164" i="4" s="1"/>
  <c r="J166" i="4"/>
  <c r="M165" i="4"/>
  <c r="M164" i="4" s="1"/>
  <c r="L165" i="4"/>
  <c r="K165" i="4"/>
  <c r="J165" i="4"/>
  <c r="P164" i="4"/>
  <c r="O164" i="4"/>
  <c r="N164" i="4"/>
  <c r="I164" i="4"/>
  <c r="H164" i="4"/>
  <c r="M163" i="4"/>
  <c r="M157" i="4" s="1"/>
  <c r="M130" i="4" s="1"/>
  <c r="L163" i="4"/>
  <c r="L157" i="4" s="1"/>
  <c r="K163" i="4"/>
  <c r="J163" i="4"/>
  <c r="N162" i="4"/>
  <c r="N161" i="4" s="1"/>
  <c r="M162" i="4"/>
  <c r="L162" i="4"/>
  <c r="K162" i="4"/>
  <c r="J162" i="4"/>
  <c r="P161" i="4"/>
  <c r="O161" i="4"/>
  <c r="L161" i="4"/>
  <c r="K161" i="4"/>
  <c r="I161" i="4"/>
  <c r="H161" i="4"/>
  <c r="G160" i="4"/>
  <c r="J159" i="4"/>
  <c r="G159" i="4" s="1"/>
  <c r="G158" i="4" s="1"/>
  <c r="P158" i="4"/>
  <c r="O158" i="4"/>
  <c r="N158" i="4"/>
  <c r="M158" i="4"/>
  <c r="L158" i="4"/>
  <c r="K158" i="4"/>
  <c r="J158" i="4"/>
  <c r="I158" i="4"/>
  <c r="H158" i="4"/>
  <c r="P157" i="4"/>
  <c r="P130" i="4" s="1"/>
  <c r="O157" i="4"/>
  <c r="N157" i="4"/>
  <c r="K157" i="4"/>
  <c r="J157" i="4"/>
  <c r="I157" i="4"/>
  <c r="H157" i="4"/>
  <c r="P156" i="4"/>
  <c r="P155" i="4" s="1"/>
  <c r="O156" i="4"/>
  <c r="N156" i="4"/>
  <c r="N155" i="4" s="1"/>
  <c r="M156" i="4"/>
  <c r="L156" i="4"/>
  <c r="K156" i="4"/>
  <c r="K155" i="4" s="1"/>
  <c r="I156" i="4"/>
  <c r="H156" i="4"/>
  <c r="I155" i="4"/>
  <c r="H155" i="4"/>
  <c r="G154" i="4"/>
  <c r="G153" i="4"/>
  <c r="P152" i="4"/>
  <c r="O152" i="4"/>
  <c r="N152" i="4"/>
  <c r="M152" i="4"/>
  <c r="L152" i="4"/>
  <c r="K152" i="4"/>
  <c r="J152" i="4"/>
  <c r="I152" i="4"/>
  <c r="H152" i="4"/>
  <c r="G151" i="4"/>
  <c r="G149" i="4" s="1"/>
  <c r="G150" i="4"/>
  <c r="P149" i="4"/>
  <c r="O149" i="4"/>
  <c r="N149" i="4"/>
  <c r="M149" i="4"/>
  <c r="L149" i="4"/>
  <c r="K149" i="4"/>
  <c r="J149" i="4"/>
  <c r="I149" i="4"/>
  <c r="H149" i="4"/>
  <c r="L148" i="4"/>
  <c r="G148" i="4" s="1"/>
  <c r="L147" i="4"/>
  <c r="G147" i="4" s="1"/>
  <c r="G146" i="4" s="1"/>
  <c r="P146" i="4"/>
  <c r="O146" i="4"/>
  <c r="N146" i="4"/>
  <c r="M146" i="4"/>
  <c r="K146" i="4"/>
  <c r="J146" i="4"/>
  <c r="I146" i="4"/>
  <c r="H146" i="4"/>
  <c r="M145" i="4"/>
  <c r="L145" i="4"/>
  <c r="K145" i="4"/>
  <c r="J145" i="4"/>
  <c r="M144" i="4"/>
  <c r="M143" i="4" s="1"/>
  <c r="L144" i="4"/>
  <c r="K144" i="4"/>
  <c r="K143" i="4" s="1"/>
  <c r="J144" i="4"/>
  <c r="G144" i="4" s="1"/>
  <c r="P143" i="4"/>
  <c r="O143" i="4"/>
  <c r="N143" i="4"/>
  <c r="I143" i="4"/>
  <c r="H143" i="4"/>
  <c r="M142" i="4"/>
  <c r="L142" i="4"/>
  <c r="K142" i="4"/>
  <c r="J142" i="4"/>
  <c r="P141" i="4"/>
  <c r="P140" i="4" s="1"/>
  <c r="O141" i="4"/>
  <c r="O140" i="4" s="1"/>
  <c r="N140" i="4"/>
  <c r="M141" i="4"/>
  <c r="M140" i="4" s="1"/>
  <c r="L141" i="4"/>
  <c r="K141" i="4"/>
  <c r="J141" i="4"/>
  <c r="I141" i="4"/>
  <c r="I140" i="4" s="1"/>
  <c r="H140" i="4"/>
  <c r="G139" i="4"/>
  <c r="G138" i="4"/>
  <c r="P137" i="4"/>
  <c r="O137" i="4"/>
  <c r="N137" i="4"/>
  <c r="M137" i="4"/>
  <c r="L137" i="4"/>
  <c r="K137" i="4"/>
  <c r="J137" i="4"/>
  <c r="I137" i="4"/>
  <c r="H137" i="4"/>
  <c r="G136" i="4"/>
  <c r="G134" i="4" s="1"/>
  <c r="G135" i="4"/>
  <c r="P134" i="4"/>
  <c r="O134" i="4"/>
  <c r="N134" i="4"/>
  <c r="M134" i="4"/>
  <c r="L134" i="4"/>
  <c r="K134" i="4"/>
  <c r="J134" i="4"/>
  <c r="I134" i="4"/>
  <c r="H134" i="4"/>
  <c r="G133" i="4"/>
  <c r="J132" i="4"/>
  <c r="G132" i="4" s="1"/>
  <c r="G131" i="4" s="1"/>
  <c r="P131" i="4"/>
  <c r="O131" i="4"/>
  <c r="N131" i="4"/>
  <c r="M131" i="4"/>
  <c r="L131" i="4"/>
  <c r="K131" i="4"/>
  <c r="I131" i="4"/>
  <c r="H131" i="4"/>
  <c r="K130" i="4"/>
  <c r="I130" i="4"/>
  <c r="I128" i="4" s="1"/>
  <c r="H130" i="4"/>
  <c r="O129" i="4"/>
  <c r="M129" i="4"/>
  <c r="K129" i="4"/>
  <c r="I129" i="4"/>
  <c r="H129" i="4"/>
  <c r="L126" i="4"/>
  <c r="G126" i="4" s="1"/>
  <c r="G125" i="4"/>
  <c r="M124" i="4"/>
  <c r="K124" i="4"/>
  <c r="J124" i="4"/>
  <c r="I124" i="4"/>
  <c r="H124" i="4"/>
  <c r="G123" i="4"/>
  <c r="L122" i="4"/>
  <c r="G122" i="4" s="1"/>
  <c r="G121" i="4" s="1"/>
  <c r="M121" i="4"/>
  <c r="K121" i="4"/>
  <c r="J121" i="4"/>
  <c r="I121" i="4"/>
  <c r="H121" i="4"/>
  <c r="G120" i="4"/>
  <c r="K119" i="4"/>
  <c r="G119" i="4" s="1"/>
  <c r="M118" i="4"/>
  <c r="L118" i="4"/>
  <c r="K118" i="4"/>
  <c r="J118" i="4"/>
  <c r="I118" i="4"/>
  <c r="H118" i="4"/>
  <c r="G117" i="4"/>
  <c r="G116" i="4"/>
  <c r="M114" i="4"/>
  <c r="L114" i="4"/>
  <c r="K114" i="4"/>
  <c r="J114" i="4"/>
  <c r="I114" i="4"/>
  <c r="H114" i="4"/>
  <c r="G114" i="4"/>
  <c r="G113" i="4"/>
  <c r="G112" i="4"/>
  <c r="G111" i="4" s="1"/>
  <c r="O111" i="4"/>
  <c r="N111" i="4"/>
  <c r="M111" i="4"/>
  <c r="L111" i="4"/>
  <c r="K111" i="4"/>
  <c r="J111" i="4"/>
  <c r="I111" i="4"/>
  <c r="H111" i="4"/>
  <c r="G110" i="4"/>
  <c r="H109" i="4"/>
  <c r="H108" i="4" s="1"/>
  <c r="M108" i="4"/>
  <c r="L108" i="4"/>
  <c r="K108" i="4"/>
  <c r="J108" i="4"/>
  <c r="I108" i="4"/>
  <c r="P107" i="4"/>
  <c r="P78" i="4" s="1"/>
  <c r="P76" i="4" s="1"/>
  <c r="O107" i="4"/>
  <c r="N107" i="4"/>
  <c r="M107" i="4" s="1"/>
  <c r="M106" i="4"/>
  <c r="L106" i="4" s="1"/>
  <c r="G104" i="4"/>
  <c r="G103" i="4"/>
  <c r="P102" i="4"/>
  <c r="O102" i="4"/>
  <c r="N102" i="4"/>
  <c r="M102" i="4"/>
  <c r="L102" i="4"/>
  <c r="K102" i="4"/>
  <c r="J102" i="4"/>
  <c r="I102" i="4"/>
  <c r="H102" i="4"/>
  <c r="L101" i="4"/>
  <c r="K101" i="4"/>
  <c r="K99" i="4" s="1"/>
  <c r="J101" i="4"/>
  <c r="J99" i="4" s="1"/>
  <c r="I101" i="4"/>
  <c r="I99" i="4" s="1"/>
  <c r="H101" i="4"/>
  <c r="L100" i="4"/>
  <c r="K100" i="4"/>
  <c r="J100" i="4"/>
  <c r="I100" i="4"/>
  <c r="H100" i="4"/>
  <c r="H99" i="4" s="1"/>
  <c r="P99" i="4"/>
  <c r="O99" i="4"/>
  <c r="N99" i="4"/>
  <c r="M99" i="4"/>
  <c r="L99" i="4"/>
  <c r="M98" i="4"/>
  <c r="L98" i="4"/>
  <c r="K98" i="4"/>
  <c r="J98" i="4"/>
  <c r="I98" i="4"/>
  <c r="P97" i="4"/>
  <c r="P95" i="4" s="1"/>
  <c r="O97" i="4"/>
  <c r="O77" i="4" s="1"/>
  <c r="M97" i="4"/>
  <c r="M95" i="4" s="1"/>
  <c r="L97" i="4"/>
  <c r="L95" i="4" s="1"/>
  <c r="K97" i="4"/>
  <c r="K95" i="4" s="1"/>
  <c r="J97" i="4"/>
  <c r="I97" i="4"/>
  <c r="I95" i="4" s="1"/>
  <c r="N95" i="4"/>
  <c r="H95" i="4"/>
  <c r="G94" i="4"/>
  <c r="G93" i="4"/>
  <c r="P92" i="4"/>
  <c r="O92" i="4"/>
  <c r="N92" i="4"/>
  <c r="M92" i="4"/>
  <c r="L92" i="4"/>
  <c r="K92" i="4"/>
  <c r="J92" i="4"/>
  <c r="I92" i="4"/>
  <c r="H92" i="4"/>
  <c r="G91" i="4"/>
  <c r="G89" i="4" s="1"/>
  <c r="G90" i="4"/>
  <c r="P89" i="4"/>
  <c r="O89" i="4"/>
  <c r="N89" i="4"/>
  <c r="M89" i="4"/>
  <c r="L89" i="4"/>
  <c r="K89" i="4"/>
  <c r="J89" i="4"/>
  <c r="I89" i="4"/>
  <c r="H89" i="4"/>
  <c r="G88" i="4"/>
  <c r="G87" i="4"/>
  <c r="G86" i="4" s="1"/>
  <c r="P86" i="4"/>
  <c r="O86" i="4"/>
  <c r="N86" i="4"/>
  <c r="M86" i="4"/>
  <c r="L86" i="4"/>
  <c r="K86" i="4"/>
  <c r="J86" i="4"/>
  <c r="I86" i="4"/>
  <c r="H86" i="4"/>
  <c r="G85" i="4"/>
  <c r="M84" i="4"/>
  <c r="L84" i="4"/>
  <c r="L82" i="4" s="1"/>
  <c r="J84" i="4"/>
  <c r="J82" i="4" s="1"/>
  <c r="P82" i="4"/>
  <c r="O82" i="4"/>
  <c r="N82" i="4"/>
  <c r="K82" i="4"/>
  <c r="I82" i="4"/>
  <c r="H82" i="4"/>
  <c r="G81" i="4"/>
  <c r="G80" i="4"/>
  <c r="G79" i="4" s="1"/>
  <c r="P79" i="4"/>
  <c r="O79" i="4"/>
  <c r="N79" i="4"/>
  <c r="M79" i="4"/>
  <c r="L79" i="4"/>
  <c r="K79" i="4"/>
  <c r="J79" i="4"/>
  <c r="I79" i="4"/>
  <c r="H79" i="4"/>
  <c r="O78" i="4"/>
  <c r="P77" i="4"/>
  <c r="N77" i="4"/>
  <c r="G74" i="4"/>
  <c r="G73" i="4"/>
  <c r="P72" i="4"/>
  <c r="O72" i="4"/>
  <c r="N72" i="4"/>
  <c r="M72" i="4"/>
  <c r="L72" i="4"/>
  <c r="K72" i="4"/>
  <c r="J72" i="4"/>
  <c r="I72" i="4"/>
  <c r="H72" i="4"/>
  <c r="G71" i="4"/>
  <c r="G70" i="4"/>
  <c r="P69" i="4"/>
  <c r="O69" i="4"/>
  <c r="N69" i="4"/>
  <c r="M69" i="4"/>
  <c r="L69" i="4"/>
  <c r="K69" i="4"/>
  <c r="J69" i="4"/>
  <c r="I69" i="4"/>
  <c r="H69" i="4"/>
  <c r="K68" i="4"/>
  <c r="G68" i="4" s="1"/>
  <c r="K67" i="4"/>
  <c r="G67" i="4" s="1"/>
  <c r="P66" i="4"/>
  <c r="O66" i="4"/>
  <c r="N66" i="4"/>
  <c r="M66" i="4"/>
  <c r="L66" i="4"/>
  <c r="J66" i="4"/>
  <c r="I66" i="4"/>
  <c r="H66" i="4"/>
  <c r="L65" i="4"/>
  <c r="K65" i="4"/>
  <c r="J65" i="4"/>
  <c r="G65" i="4" s="1"/>
  <c r="L64" i="4"/>
  <c r="L63" i="4" s="1"/>
  <c r="K64" i="4"/>
  <c r="K63" i="4" s="1"/>
  <c r="J64" i="4"/>
  <c r="I64" i="4"/>
  <c r="P63" i="4"/>
  <c r="O63" i="4"/>
  <c r="N63" i="4"/>
  <c r="M63" i="4"/>
  <c r="H63" i="4"/>
  <c r="L62" i="4"/>
  <c r="K62" i="4"/>
  <c r="J62" i="4"/>
  <c r="J37" i="4" s="1"/>
  <c r="M61" i="4"/>
  <c r="M60" i="4" s="1"/>
  <c r="L61" i="4"/>
  <c r="L60" i="4" s="1"/>
  <c r="K61" i="4"/>
  <c r="J61" i="4"/>
  <c r="J60" i="4" s="1"/>
  <c r="I61" i="4"/>
  <c r="P60" i="4"/>
  <c r="O60" i="4"/>
  <c r="N60" i="4"/>
  <c r="H60" i="4"/>
  <c r="G59" i="4"/>
  <c r="G58" i="4"/>
  <c r="P57" i="4"/>
  <c r="O57" i="4"/>
  <c r="N57" i="4"/>
  <c r="M57" i="4"/>
  <c r="L57" i="4"/>
  <c r="K57" i="4"/>
  <c r="J57" i="4"/>
  <c r="I57" i="4"/>
  <c r="H57" i="4"/>
  <c r="G56" i="4"/>
  <c r="M55" i="4"/>
  <c r="G55" i="4" s="1"/>
  <c r="G53" i="4" s="1"/>
  <c r="K55" i="4"/>
  <c r="K53" i="4" s="1"/>
  <c r="J55" i="4"/>
  <c r="J53" i="4" s="1"/>
  <c r="P53" i="4"/>
  <c r="O53" i="4"/>
  <c r="N53" i="4"/>
  <c r="L53" i="4"/>
  <c r="I53" i="4"/>
  <c r="H53" i="4"/>
  <c r="G52" i="4"/>
  <c r="K51" i="4"/>
  <c r="G51" i="4" s="1"/>
  <c r="G49" i="4" s="1"/>
  <c r="P49" i="4"/>
  <c r="O49" i="4"/>
  <c r="N49" i="4"/>
  <c r="M49" i="4"/>
  <c r="L49" i="4"/>
  <c r="J49" i="4"/>
  <c r="I49" i="4"/>
  <c r="H49" i="4"/>
  <c r="G48" i="4"/>
  <c r="J47" i="4"/>
  <c r="G47" i="4" s="1"/>
  <c r="P46" i="4"/>
  <c r="N46" i="4"/>
  <c r="M46" i="4"/>
  <c r="L46" i="4"/>
  <c r="K46" i="4"/>
  <c r="I46" i="4"/>
  <c r="H46" i="4"/>
  <c r="L45" i="4"/>
  <c r="L42" i="4" s="1"/>
  <c r="G45" i="4"/>
  <c r="J44" i="4"/>
  <c r="J42" i="4" s="1"/>
  <c r="G44" i="4"/>
  <c r="P42" i="4"/>
  <c r="N42" i="4"/>
  <c r="M42" i="4"/>
  <c r="K42" i="4"/>
  <c r="I42" i="4"/>
  <c r="H42" i="4"/>
  <c r="G41" i="4"/>
  <c r="M40" i="4"/>
  <c r="M38" i="4" s="1"/>
  <c r="L40" i="4"/>
  <c r="L38" i="4" s="1"/>
  <c r="J40" i="4"/>
  <c r="P38" i="4"/>
  <c r="O38" i="4"/>
  <c r="N38" i="4"/>
  <c r="K38" i="4"/>
  <c r="I38" i="4"/>
  <c r="H38" i="4"/>
  <c r="P37" i="4"/>
  <c r="O37" i="4"/>
  <c r="O34" i="4" s="1"/>
  <c r="N37" i="4"/>
  <c r="M37" i="4"/>
  <c r="L37" i="4"/>
  <c r="I37" i="4"/>
  <c r="H37" i="4"/>
  <c r="P36" i="4"/>
  <c r="O36" i="4"/>
  <c r="N36" i="4"/>
  <c r="L36" i="4"/>
  <c r="L34" i="4" s="1"/>
  <c r="I36" i="4"/>
  <c r="I34" i="4" s="1"/>
  <c r="H36" i="4"/>
  <c r="H34" i="4" s="1"/>
  <c r="K32" i="4"/>
  <c r="J32" i="4"/>
  <c r="K31" i="4"/>
  <c r="J31" i="4"/>
  <c r="G31" i="4" s="1"/>
  <c r="P30" i="4"/>
  <c r="O30" i="4"/>
  <c r="N30" i="4"/>
  <c r="M30" i="4"/>
  <c r="L30" i="4"/>
  <c r="K30" i="4"/>
  <c r="J30" i="4"/>
  <c r="I30" i="4"/>
  <c r="H30" i="4"/>
  <c r="M29" i="4"/>
  <c r="L29" i="4"/>
  <c r="K29" i="4"/>
  <c r="J29" i="4"/>
  <c r="I29" i="4"/>
  <c r="I26" i="4" s="1"/>
  <c r="M28" i="4"/>
  <c r="M27" i="4" s="1"/>
  <c r="L28" i="4"/>
  <c r="L27" i="4" s="1"/>
  <c r="K28" i="4"/>
  <c r="K27" i="4" s="1"/>
  <c r="J28" i="4"/>
  <c r="J27" i="4" s="1"/>
  <c r="I28" i="4"/>
  <c r="P27" i="4"/>
  <c r="O27" i="4"/>
  <c r="N27" i="4"/>
  <c r="H27" i="4"/>
  <c r="P26" i="4"/>
  <c r="O26" i="4"/>
  <c r="M26" i="4"/>
  <c r="L26" i="4"/>
  <c r="K26" i="4"/>
  <c r="J26" i="4"/>
  <c r="H26" i="4"/>
  <c r="P25" i="4"/>
  <c r="O25" i="4"/>
  <c r="N25" i="4"/>
  <c r="H25" i="4"/>
  <c r="K37" i="4" l="1"/>
  <c r="N78" i="4"/>
  <c r="G84" i="4"/>
  <c r="G82" i="4" s="1"/>
  <c r="I276" i="4"/>
  <c r="G152" i="4"/>
  <c r="H24" i="4"/>
  <c r="P34" i="4"/>
  <c r="L121" i="4"/>
  <c r="G141" i="4"/>
  <c r="J130" i="4"/>
  <c r="G162" i="4"/>
  <c r="P186" i="4"/>
  <c r="H227" i="4"/>
  <c r="P290" i="4"/>
  <c r="H128" i="4"/>
  <c r="J131" i="4"/>
  <c r="L143" i="4"/>
  <c r="K206" i="4"/>
  <c r="K205" i="4" s="1"/>
  <c r="J25" i="4"/>
  <c r="J24" i="4" s="1"/>
  <c r="L25" i="4"/>
  <c r="L24" i="4" s="1"/>
  <c r="G40" i="4"/>
  <c r="G38" i="4" s="1"/>
  <c r="K140" i="4"/>
  <c r="N276" i="4"/>
  <c r="M25" i="4"/>
  <c r="M289" i="4" s="1"/>
  <c r="G97" i="4"/>
  <c r="K128" i="4"/>
  <c r="M161" i="4"/>
  <c r="K186" i="4"/>
  <c r="G228" i="4"/>
  <c r="P276" i="4"/>
  <c r="J282" i="4"/>
  <c r="P205" i="4"/>
  <c r="G64" i="4"/>
  <c r="G102" i="4"/>
  <c r="N129" i="4"/>
  <c r="L155" i="4"/>
  <c r="G165" i="4"/>
  <c r="G212" i="4"/>
  <c r="J63" i="4"/>
  <c r="G72" i="4"/>
  <c r="G118" i="4"/>
  <c r="M155" i="4"/>
  <c r="J214" i="4"/>
  <c r="J248" i="4"/>
  <c r="K36" i="4"/>
  <c r="K34" i="4" s="1"/>
  <c r="G66" i="4"/>
  <c r="G137" i="4"/>
  <c r="G142" i="4"/>
  <c r="G140" i="4" s="1"/>
  <c r="G167" i="4"/>
  <c r="G180" i="4"/>
  <c r="G183" i="4"/>
  <c r="G188" i="4"/>
  <c r="G198" i="4"/>
  <c r="M205" i="4"/>
  <c r="M128" i="4"/>
  <c r="G42" i="4"/>
  <c r="G62" i="4"/>
  <c r="J156" i="4"/>
  <c r="G175" i="4"/>
  <c r="G174" i="4" s="1"/>
  <c r="G28" i="4"/>
  <c r="K25" i="4"/>
  <c r="K24" i="4" s="1"/>
  <c r="M36" i="4"/>
  <c r="M34" i="4" s="1"/>
  <c r="G109" i="4"/>
  <c r="G108" i="4" s="1"/>
  <c r="L129" i="4"/>
  <c r="G157" i="4"/>
  <c r="N130" i="4"/>
  <c r="N128" i="4" s="1"/>
  <c r="L164" i="4"/>
  <c r="M211" i="4"/>
  <c r="G229" i="4"/>
  <c r="G227" i="4" s="1"/>
  <c r="G284" i="4"/>
  <c r="G69" i="4"/>
  <c r="G267" i="4"/>
  <c r="G98" i="4"/>
  <c r="G95" i="4" s="1"/>
  <c r="L146" i="4"/>
  <c r="K175" i="4"/>
  <c r="K174" i="4" s="1"/>
  <c r="G176" i="4"/>
  <c r="G250" i="4"/>
  <c r="G283" i="4"/>
  <c r="J38" i="4"/>
  <c r="M53" i="4"/>
  <c r="I63" i="4"/>
  <c r="M77" i="4"/>
  <c r="M82" i="4"/>
  <c r="P129" i="4"/>
  <c r="P128" i="4" s="1"/>
  <c r="G264" i="4"/>
  <c r="O95" i="4"/>
  <c r="G100" i="4"/>
  <c r="G130" i="4"/>
  <c r="M175" i="4"/>
  <c r="M174" i="4" s="1"/>
  <c r="G190" i="4"/>
  <c r="G189" i="4" s="1"/>
  <c r="G247" i="4"/>
  <c r="G245" i="4" s="1"/>
  <c r="G249" i="4"/>
  <c r="I27" i="4"/>
  <c r="G61" i="4"/>
  <c r="G145" i="4"/>
  <c r="J161" i="4"/>
  <c r="G163" i="4"/>
  <c r="G161" i="4" s="1"/>
  <c r="O155" i="4"/>
  <c r="O130" i="4"/>
  <c r="O290" i="4" s="1"/>
  <c r="O289" i="4"/>
  <c r="J140" i="4"/>
  <c r="G239" i="4"/>
  <c r="G256" i="4"/>
  <c r="K257" i="4"/>
  <c r="K255" i="4" s="1"/>
  <c r="K60" i="4"/>
  <c r="L124" i="4"/>
  <c r="G191" i="4"/>
  <c r="G215" i="4"/>
  <c r="G214" i="4" s="1"/>
  <c r="G236" i="4"/>
  <c r="G258" i="4"/>
  <c r="K277" i="4"/>
  <c r="G277" i="4" s="1"/>
  <c r="G29" i="4"/>
  <c r="P24" i="4"/>
  <c r="G32" i="4"/>
  <c r="G30" i="4" s="1"/>
  <c r="J36" i="4"/>
  <c r="J34" i="4" s="1"/>
  <c r="O76" i="4"/>
  <c r="J95" i="4"/>
  <c r="L130" i="4"/>
  <c r="L140" i="4"/>
  <c r="G187" i="4"/>
  <c r="G186" i="4" s="1"/>
  <c r="G213" i="4"/>
  <c r="G211" i="4" s="1"/>
  <c r="J255" i="4"/>
  <c r="I25" i="4"/>
  <c r="I24" i="4" s="1"/>
  <c r="G37" i="4"/>
  <c r="G46" i="4"/>
  <c r="G101" i="4"/>
  <c r="G124" i="4"/>
  <c r="G166" i="4"/>
  <c r="G164" i="4" s="1"/>
  <c r="G273" i="4"/>
  <c r="M276" i="4"/>
  <c r="G92" i="4"/>
  <c r="N76" i="4"/>
  <c r="G63" i="4"/>
  <c r="N34" i="4"/>
  <c r="G57" i="4"/>
  <c r="G143" i="4"/>
  <c r="N289" i="4"/>
  <c r="N205" i="4"/>
  <c r="O24" i="4"/>
  <c r="N26" i="4"/>
  <c r="G26" i="4" s="1"/>
  <c r="M78" i="4"/>
  <c r="M76" i="4" s="1"/>
  <c r="L107" i="4"/>
  <c r="K106" i="4"/>
  <c r="L105" i="4"/>
  <c r="L77" i="4"/>
  <c r="L289" i="4" s="1"/>
  <c r="J46" i="4"/>
  <c r="K49" i="4"/>
  <c r="I60" i="4"/>
  <c r="K66" i="4"/>
  <c r="M105" i="4"/>
  <c r="J143" i="4"/>
  <c r="J164" i="4"/>
  <c r="I186" i="4"/>
  <c r="J207" i="4"/>
  <c r="L207" i="4"/>
  <c r="L205" i="4" s="1"/>
  <c r="J211" i="4"/>
  <c r="H255" i="4"/>
  <c r="I264" i="4"/>
  <c r="K273" i="4"/>
  <c r="K278" i="4"/>
  <c r="G278" i="4" s="1"/>
  <c r="G282" i="4" l="1"/>
  <c r="M24" i="4"/>
  <c r="G99" i="4"/>
  <c r="G27" i="4"/>
  <c r="G60" i="4"/>
  <c r="G206" i="4"/>
  <c r="O288" i="4"/>
  <c r="K276" i="4"/>
  <c r="J129" i="4"/>
  <c r="G156" i="4"/>
  <c r="G155" i="4" s="1"/>
  <c r="J155" i="4"/>
  <c r="P289" i="4"/>
  <c r="P288" i="4" s="1"/>
  <c r="L128" i="4"/>
  <c r="O128" i="4"/>
  <c r="G36" i="4"/>
  <c r="G34" i="4" s="1"/>
  <c r="G257" i="4"/>
  <c r="G255" i="4" s="1"/>
  <c r="G276" i="4"/>
  <c r="M290" i="4"/>
  <c r="M288" i="4" s="1"/>
  <c r="G25" i="4"/>
  <c r="G24" i="4" s="1"/>
  <c r="G248" i="4"/>
  <c r="N290" i="4"/>
  <c r="N288" i="4" s="1"/>
  <c r="N24" i="4"/>
  <c r="J205" i="4"/>
  <c r="G207" i="4"/>
  <c r="J106" i="4"/>
  <c r="K77" i="4"/>
  <c r="K107" i="4"/>
  <c r="L78" i="4"/>
  <c r="L290" i="4" s="1"/>
  <c r="L288" i="4" s="1"/>
  <c r="G205" i="4" l="1"/>
  <c r="J128" i="4"/>
  <c r="G129" i="4"/>
  <c r="G128" i="4" s="1"/>
  <c r="K289" i="4"/>
  <c r="I106" i="4"/>
  <c r="J77" i="4"/>
  <c r="L76" i="4"/>
  <c r="K78" i="4"/>
  <c r="K290" i="4" s="1"/>
  <c r="J107" i="4"/>
  <c r="K105" i="4"/>
  <c r="K288" i="4" l="1"/>
  <c r="I107" i="4"/>
  <c r="J78" i="4"/>
  <c r="J290" i="4" s="1"/>
  <c r="J289" i="4"/>
  <c r="H106" i="4"/>
  <c r="I105" i="4"/>
  <c r="I77" i="4"/>
  <c r="J105" i="4"/>
  <c r="K76" i="4"/>
  <c r="J288" i="4" l="1"/>
  <c r="I289" i="4"/>
  <c r="G106" i="4"/>
  <c r="H77" i="4"/>
  <c r="I78" i="4"/>
  <c r="I290" i="4" s="1"/>
  <c r="H107" i="4"/>
  <c r="H105" i="4" s="1"/>
  <c r="J76" i="4"/>
  <c r="G107" i="4" l="1"/>
  <c r="H78" i="4"/>
  <c r="H76" i="4" s="1"/>
  <c r="G77" i="4"/>
  <c r="H289" i="4"/>
  <c r="I288" i="4"/>
  <c r="G105" i="4"/>
  <c r="I76" i="4"/>
  <c r="G78" i="4" l="1"/>
  <c r="G76" i="4" s="1"/>
  <c r="H290" i="4"/>
  <c r="G290" i="4" s="1"/>
  <c r="G289" i="4"/>
  <c r="G288" i="4" s="1"/>
  <c r="H288" i="4" l="1"/>
</calcChain>
</file>

<file path=xl/sharedStrings.xml><?xml version="1.0" encoding="utf-8"?>
<sst xmlns="http://schemas.openxmlformats.org/spreadsheetml/2006/main" count="1346" uniqueCount="153">
  <si>
    <t xml:space="preserve"> СТРУКТУРА</t>
  </si>
  <si>
    <t>Муниципальной программы «Развитие социально-культурной сферы Любинского муниципального района Омской области» на 2019 – 2027 годы</t>
  </si>
  <si>
    <t>№</t>
  </si>
  <si>
    <t>Наименование показателя</t>
  </si>
  <si>
    <t>Срок реализации</t>
  </si>
  <si>
    <t xml:space="preserve">Соисполнитель, исполнитель основного мероприятия, исполнитель ведомственной целевой подпрограммы, исполнитель
</t>
  </si>
  <si>
    <t>Финансовое обеспечение</t>
  </si>
  <si>
    <t xml:space="preserve">Целевые индикаторы реализации мероприятий (группы мероприятий) государственной </t>
  </si>
  <si>
    <t>программы</t>
  </si>
  <si>
    <t>Источник</t>
  </si>
  <si>
    <t>Объем (рублей)</t>
  </si>
  <si>
    <t>Наименование</t>
  </si>
  <si>
    <t>Единица</t>
  </si>
  <si>
    <t>Значение</t>
  </si>
  <si>
    <t>Всего</t>
  </si>
  <si>
    <t>в т.ч. по годам реализации муниципальной</t>
  </si>
  <si>
    <t>измерения</t>
  </si>
  <si>
    <t>в т.ч. по годам реализации муниципальной программы</t>
  </si>
  <si>
    <t>с</t>
  </si>
  <si>
    <t>по</t>
  </si>
  <si>
    <t xml:space="preserve">Подпрограмма 2: «Развитие отрасли «Культура» Любинского
муниципального района Омской области на 2019-2027 годы»
</t>
  </si>
  <si>
    <t>Х</t>
  </si>
  <si>
    <t>Цель подпрограммы 2: муниципальной программы   
Создание благоприятных условий для укрепления единого культурного пространства, развития культурного и духовного потенциала населения, сохранения культурного наследия Любинского района и обеспечения свободы творчества и прав граждан на участие в культурной жизни.</t>
  </si>
  <si>
    <t>Задача 1:
Осуществление финансово-экономического и ресурсного обеспечения учреждений культуры Любинского муниципального района</t>
  </si>
  <si>
    <t>Казенное учреждение «Центр финансово-экономического  развития и ресурсного обеспечения учреждений культуры Любинского муниципального района Омской области»</t>
  </si>
  <si>
    <t xml:space="preserve">Основное мероприятие 1:
Осуществление финансово-экономического и хозяйственного обеспечения учреждений  культуры Любинского муниципального района </t>
  </si>
  <si>
    <t>Всего, из них расходы за счёт:</t>
  </si>
  <si>
    <t xml:space="preserve"> X  </t>
  </si>
  <si>
    <t xml:space="preserve">  X  </t>
  </si>
  <si>
    <t xml:space="preserve"> X   </t>
  </si>
  <si>
    <t xml:space="preserve">  X   </t>
  </si>
  <si>
    <t xml:space="preserve">   X   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</si>
  <si>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</si>
  <si>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</si>
  <si>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Мероприятие 1:
Финансово-экономическое и ресурсное обеспечение учреждений культуры Любинского муниципального района</t>
  </si>
  <si>
    <t>0,00</t>
  </si>
  <si>
    <t xml:space="preserve"> в т.ч. 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правовыми актами Российской Федерации, содержащими нормы трудового права </t>
  </si>
  <si>
    <t>Доля работников муниципальных учреждений в сфере культуры, которым обеспечены гарантии</t>
  </si>
  <si>
    <t>%</t>
  </si>
  <si>
    <t>Задача 2: Организация библиотечного  обслуживания населения Любинского муниципального района</t>
  </si>
  <si>
    <t>Бюджетное учреждение Любинского муниципального района «Центр культуры и искусства Любинского муниципального района»</t>
  </si>
  <si>
    <t xml:space="preserve">Основное        
мероприятие 2:
Осуществление  библиотечного, библиографического и  информационного  обслуживания населения Любинского муниципального района
   </t>
  </si>
  <si>
    <t>увеличение численности посещений муниципальных библиотек Любинского района (по сравнению с предыдущим годом)</t>
  </si>
  <si>
    <t xml:space="preserve"> -</t>
  </si>
  <si>
    <t xml:space="preserve">Мероприятие 1:
Подписка на периодические издания  
</t>
  </si>
  <si>
    <t>X</t>
  </si>
  <si>
    <t xml:space="preserve">Мероприятие 2
Комплектование книжных фондов. Комплектование книжных фондов общедоступных (публичных) библиотек муниципальных образований Омской области  
</t>
  </si>
  <si>
    <t>Обновляемость книжных фондов общедоступных (публичных) библиотек муниципальных образований Омской области</t>
  </si>
  <si>
    <t>-</t>
  </si>
  <si>
    <t>Проведены мероприятия по комплектованию книжных фондов библиотек муниципальных образований и государственных общедоступных библиотек субъектов Российской Федерации</t>
  </si>
  <si>
    <t>единица</t>
  </si>
  <si>
    <t>в т.ч.                                      Государственная поддержка отрасли культуры за счет средств резервного фонда Правительства Российской Федерации (комплектование книжных фондов библиотек муниципальных образований Омской области)</t>
  </si>
  <si>
    <t>обновляемость книжных фондов общедоступных (публичных) библиотек муниципальных образований Омской области</t>
  </si>
  <si>
    <t xml:space="preserve">Мероприятие 3
Проведение мероприятий
</t>
  </si>
  <si>
    <t xml:space="preserve">Мероприятие 4
Обеспечение широкополосного доступа к сети интернет
</t>
  </si>
  <si>
    <t xml:space="preserve">Мероприятие 5
Выплата денежного поощрения лучшим муниципальным учреждениям культуры, находящимся на территориях сельских поселений и их работникам
</t>
  </si>
  <si>
    <t>Количество посещений муниципальных учреждений культуры по отношению к уровню 2010 года</t>
  </si>
  <si>
    <t xml:space="preserve">Мероприятие 6
Содержание библиотек
</t>
  </si>
  <si>
    <t xml:space="preserve">в т.ч.  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
</t>
  </si>
  <si>
    <t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</t>
  </si>
  <si>
    <t xml:space="preserve">Мероприятие 7
Материально-техническое оснащение учреждений
</t>
  </si>
  <si>
    <t xml:space="preserve">Мероприятие 7.1
Софинансирование расходов на ремонт и материально-техническое оснащение объектов, находящихся в муниципальной собственности
</t>
  </si>
  <si>
    <t>Количество муниципальных учреждений в сфере культуры, в которых был проведен ремонт.      Количество муниципальных учреждений в сфере культуры, в которых произведено материально-техническое оснащение</t>
  </si>
  <si>
    <t>Мероприятие 8 :                Реализация прочих мероприятий</t>
  </si>
  <si>
    <t>Задача 3:        
подпрограммы 2 
муниципальной программы:     
Организация культурно-досугового обслуживания населения Любинского муниципального района</t>
  </si>
  <si>
    <t xml:space="preserve">Основное мероприятие 3:
Осуществление культурно-досугового обслуживания населения Любинского муниципального района
</t>
  </si>
  <si>
    <t>увеличение численности посещений культурно-досуговых мероприятий, проводимых на территории района (по сравнению с предыдущим годом)</t>
  </si>
  <si>
    <t xml:space="preserve">Мероприятие 1:                         Участие творческих коллективов и исполнителей муниципального района в областных праздниках, фестивалях 
</t>
  </si>
  <si>
    <t xml:space="preserve">Мероприятие 2:
Проведение районного смотра-конкурса "Живет село родное"
</t>
  </si>
  <si>
    <t xml:space="preserve">Мероприятие 3:
Проведение мероприятий к памятным датам, профессиональным и социальным праздникам 
</t>
  </si>
  <si>
    <t xml:space="preserve">Мероприятие 4:
Поддержка одаренных детей
</t>
  </si>
  <si>
    <t xml:space="preserve">Мероприятие 5:
Выплата денежного поощрения лучшим муниципальным учреждениям культуры, находящимся на территориях сельских поселений и их работникам
</t>
  </si>
  <si>
    <t xml:space="preserve">Мероприятие 6:
Содержание культурно-досуговых учреждений
</t>
  </si>
  <si>
    <t xml:space="preserve">в т.ч. 
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
</t>
  </si>
  <si>
    <t xml:space="preserve">Мероприятие 7:
Материально-техническое оснащение учреждений
</t>
  </si>
  <si>
    <t>Мероприятие 8:                                                Реализация прочих мероприятий</t>
  </si>
  <si>
    <t>Мероприятие 9:                                               Капитальный ремонт здания Увало-Ядринского сельского Дома культуры Любинского муниципального района Омской области</t>
  </si>
  <si>
    <t xml:space="preserve">Мероприятие 10:                                                Обеспечение развития и укрепления материально-технической базы домов культуры в населенных пунктах с числом жителей до 50 тысяч человек (софинансирование расходов на обеспечение развития и укрепления материально-технической базы муниципальных учреждений культурно-досугового типа)         </t>
  </si>
  <si>
    <t xml:space="preserve">Численность участников клубных формирований.                                                                                       </t>
  </si>
  <si>
    <t>чел</t>
  </si>
  <si>
    <t xml:space="preserve">    Государственными и муниципальными учреждениями культурно-досугового типа в населенных пунктах с числом жителей до 50 тысяч человек реализованы мероприятия по развитию и укреплению материально-технической базы  </t>
  </si>
  <si>
    <t xml:space="preserve">Мероприятие 11:                                            Софинансирование расходов на ремонт и материально-техническое оснащение объектов, находящихся в муниципальной собственности                                  </t>
  </si>
  <si>
    <t>Проведен ремонт и (или) произведено материально-техническое оснащение в муниципальных учреждениях в сфере культуры (культура)</t>
  </si>
  <si>
    <t xml:space="preserve">Мероприятие 12:                                            Развитие сети учреждений культурно-досугового типа.                                  Капитальный ремонт Любино-Малоросского сельского Дома культуры.  </t>
  </si>
  <si>
    <t>Мероприятие 13:                                                                            Развитие сети учреждений культурно-досугового типа. Капитальный ремонт Казанского СДК</t>
  </si>
  <si>
    <t>Мероприятие 14:                                                                            Развитие сети учреждений культурно-досугового типа. Капитальный ремонт Красноярского  ДК</t>
  </si>
  <si>
    <t>Задача 4                                     Предоставление услуг муниципальных музеев, доступ населения к музейным ценностям. Содействие сохранению и развитию национальных культур народов, проживающих на территории  Любинского муниципального района</t>
  </si>
  <si>
    <t>Основное мероприятие  4:                      Предоставление услуг историко-краеведческого музея и Центра национальных культур "Кладезь"</t>
  </si>
  <si>
    <t>увеличение численности посещений муниципального музея (по сравнению с предыдущим годом)</t>
  </si>
  <si>
    <t>Мероприятие 1:
Обеспечение доступа населения к музейным предметам и музейным коллекциям</t>
  </si>
  <si>
    <t>Мероприятие 2:                                             Сохранение и популяризация объектов культурного наследия</t>
  </si>
  <si>
    <t xml:space="preserve">Мероприятие 3:                Подготовка и проведение мероприятий </t>
  </si>
  <si>
    <t>Мероприятие 4:                     Содержание музея</t>
  </si>
  <si>
    <t>в т.ч.  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</si>
  <si>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Мероприятие 5:             Материально-техническое оснащение учреждения</t>
  </si>
  <si>
    <t xml:space="preserve">Мероприятие 5.1
Софинансирование расходов на ремонт и материально-техническое оснащение объектов, находящихся в муниципальной собственности
</t>
  </si>
  <si>
    <t>Количество муниципальных учреждений в сфере культуры, в которых был проведен ремонт и (или) произведено материально-техническое оснащение</t>
  </si>
  <si>
    <t>Мероприятие 6:                 Реализация прочих мероприятий</t>
  </si>
  <si>
    <t>Мероприятие 7:                      Предоставление услуг Центра национальных культур "Кладезь"</t>
  </si>
  <si>
    <t>увеличение численности посещений мероприятий ЦНК "Кладезь" (по сравнению с предыдущим годом)</t>
  </si>
  <si>
    <t>Мероприятие 7.1
Организация работы по сохранению и развитию традиционных народных культур</t>
  </si>
  <si>
    <t>Мероприятие 7.2
Содержание ЦНК "Кладезь"</t>
  </si>
  <si>
    <t>в т.ч. 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</si>
  <si>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Мероприятие 7.3
Материально-техническое оснащение учреждения</t>
  </si>
  <si>
    <t>Мероприятие 7. 4
Реализация прочих мероприятий</t>
  </si>
  <si>
    <t>Задача 5      
подпрограммы 2 
муниципальной программы:     
Предоставление дополнительного образования детям в образовательных учреждениях дополнительного образования детей в сфере культуры</t>
  </si>
  <si>
    <t>Бюджетное образовательное учреждение дополнительного образования Любинского муниципального района Омской области  «Детская школа искусств»</t>
  </si>
  <si>
    <t>Основное  мероприятие 5:
Предоставление дополнительного образования детям</t>
  </si>
  <si>
    <t>доля детей, получающих услуги в муниципальных учреждениях дополнительного образования детей Любинского района в сфере культуры, в общей численности детей, проживающих на территории района</t>
  </si>
  <si>
    <t>Мероприятие 1
Организация обучения по программам дополнительного образования различной направленности</t>
  </si>
  <si>
    <t>Мероприятие 2
Поддержка одаренных учащихся</t>
  </si>
  <si>
    <t>Мероприятие 3
Участие в конкурсах и фестивалях различного уровня</t>
  </si>
  <si>
    <t>Мероприятие 4
Содержание учреждений дополнительного образования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</si>
  <si>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</si>
  <si>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Мероприятие 5
Материально-техническое оснащение учреждений</t>
  </si>
  <si>
    <t>Мероприятие 6
Реализация прочих мероприятий</t>
  </si>
  <si>
    <t>Мероприятие 7
Софинансирование расходов на модернизацию путем капитального ремонта муниципальных детских школ искусств по видам искусств.   Капитальный  ремонт здания  детской школы искусств, расположенного по адресу: Омская область, Любинский район, р.п. Любинский, ул. Победы, 12 Литера "А"</t>
  </si>
  <si>
    <t>Задача 6      
подпрограммы 2 
муниципальной программы:     
                                                                          Показ кинофильмов</t>
  </si>
  <si>
    <t>увеличение численности посещений киносеансов (по сравнению с предыдущим годом)</t>
  </si>
  <si>
    <t>Основное мероприятие  6:                      Предоставление услуг культурно-досугового центра "Россия"</t>
  </si>
  <si>
    <t>Мероприятие 1
Организация кинообслуживания населения района</t>
  </si>
  <si>
    <t>Мероприятие 2
Содержание КДЦ "Россия"</t>
  </si>
  <si>
    <t>в т.ч.    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</si>
  <si>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Мероприятие 3
Материально-техническое оснащение учреждения</t>
  </si>
  <si>
    <t>Мероприятие 4
Реализация прочих мероприятий</t>
  </si>
  <si>
    <t>Мероприятие 5
Обеспечение развития и укрепления материально-технической базы домов культуры в населенных пунктах с числом жителей до 50 тысяч человек (софинансирование расходов на обеспечение развития и укрепления материально-технической базы муниципальных учреждений культурно-досугового типа)</t>
  </si>
  <si>
    <t>Задача 7    
подпрограммы 2 
муниципальной программы:     
Реализация национального проекта "Культура"</t>
  </si>
  <si>
    <t>Основное мероприятие  7:                   Реализация    федерального проекта "Культурная среда"</t>
  </si>
  <si>
    <t>Мероприятие 1
Государственная поддержка отрасли культура (модернизация учреждений культурно-досугового типа в сельской местности)                          Капитальный ремонт Увало-Ядринского сельского Дома культуры</t>
  </si>
  <si>
    <t>Количество муниципальных учреждений в сфере культуры, в которых проведен капитальный ремонт</t>
  </si>
  <si>
    <t>Мероприятие 2
Государственная поддержка отрасли культура (модернизация учреждений культурно-досугового типа в сельской местности)                                   Капитальный ремонт Северо-Любинского сельского Дома культуры</t>
  </si>
  <si>
    <t>Построены (реконструированы) и (или) капитально отремонтированы культурно-досуго-вые организации в сельской местности</t>
  </si>
  <si>
    <t xml:space="preserve">Мероприятие 3
Государственная поддержка отрасли культура (обеспечение учреждений культуры специализированным автотранспортом для обслуживания населения, в том числе сельского населения)  Приобретение для учреждений культуры передвижных многофункциональных центров (автоклубов)                               </t>
  </si>
  <si>
    <t>Приобретены передвижные многофункциональные культурные центры (автоклубы) для обслуживания сельского населения субъектов Российской Федерации</t>
  </si>
  <si>
    <t>Мероприятие 4          Государственная поддержка отрасли культура    (приобретение музыкальных инструментов, оборудования и материалов для муниципальных детских школ искусств по видам искусств)                    Приобретение музыкальных инструментов, оборудования и материалов для детской школы искусств</t>
  </si>
  <si>
    <t>Оснащены образовательные учреждения в сфере культуры (детские школы искусств по видам искусств и училищ) музыкальными инструментами, оборудованием и учебными материалами</t>
  </si>
  <si>
    <t xml:space="preserve">Мероприятие 5
Государственная поддержка отрасли культура (софинансирование расходов на модернизацию путем капитального ремонта муниципальных детских школ искусств по видам искусств)                               </t>
  </si>
  <si>
    <t>Реконструированы и (или) капитально отремонтированы региональные и муниципальные детские школы искусств по видам искусств</t>
  </si>
  <si>
    <t xml:space="preserve">Мероприятие 6
Государственная поддержка отрасли культура (развитие сети учреждений культурно-досугового типа)                               </t>
  </si>
  <si>
    <t>Основное мероприятие  8:                   Реализация    федерального проекта "Творческие люди"</t>
  </si>
  <si>
    <t>Мероприятие 1
Государственная поддержка отрасли культура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</si>
  <si>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 xml:space="preserve">Оказана государственная поддержка лучшим работникам сельских учреждений культуры.                                                                           Оказана государственная поддержка лучшим сельским учреждениям культуры        </t>
  </si>
  <si>
    <t xml:space="preserve">человек   </t>
  </si>
  <si>
    <t xml:space="preserve">  </t>
  </si>
  <si>
    <t>Задача 8
подпрограммы 2 
муниципальной программы:     
                                                                          Реализация инициативных проектов</t>
  </si>
  <si>
    <t xml:space="preserve">Оказана государственная поддержка лучшим работникам сельских учреждений культуры.              Оказана государственная поддержка лучшим сельским учреждениям культуры        </t>
  </si>
  <si>
    <t xml:space="preserve">Основное мероприятие  9 :                   Реализация    инициативных проектов в сфере культуры </t>
  </si>
  <si>
    <t>Мероприятие 1
Реализация    инициативных проектов в сфере культуры  на территориях муниципальных образований Омской области</t>
  </si>
  <si>
    <t>Количество реализованных инициативных проектов в сфере культуры на территории муниципального образования</t>
  </si>
  <si>
    <t>Еди-ница</t>
  </si>
  <si>
    <t xml:space="preserve">Итого по            
подпрограмме 2     
муниципальной    
программы           </t>
  </si>
  <si>
    <t>Лучшим работникам сельских учреждений культуры предоставлено денежное поощрение</t>
  </si>
  <si>
    <t>Лучшим сельским учреждениям культуры предоставлено денежное поощрение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</si>
</sst>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&quot;р.&quot;_-;\-* #,##0.00&quot;р.&quot;_-;_-* &quot;-&quot;??&quot;р.&quot;_-;_-@_-"/>
    <numFmt numFmtId="165" formatCode="\ #,##0.00&quot;    &quot;;\-#,##0.00&quot;    &quot;;&quot; -&quot;#&quot;    &quot;;@\ "/>
    <numFmt numFmtId="166" formatCode="#,##0.00_р_."/>
    <numFmt numFmtId="167" formatCode="0.0_ ;\-0.0\ "/>
    <numFmt numFmtId="168" formatCode="#,##0.00_ ;\-#,##0.00\ "/>
  </numFmts>
  <fonts count="22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0"/>
      <color indexed="8"/>
      <name val="Calibri"/>
      <family val="2"/>
      <charset val="204"/>
    </font>
    <font>
      <b/>
      <sz val="20"/>
      <color indexed="8"/>
      <name val="Times New Roman"/>
      <family val="1"/>
      <charset val="204"/>
    </font>
    <font>
      <sz val="10"/>
      <name val="Arial"/>
      <family val="2"/>
      <charset val="204"/>
    </font>
    <font>
      <sz val="20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20"/>
      <name val="Arial"/>
      <family val="2"/>
      <charset val="204"/>
    </font>
    <font>
      <sz val="18"/>
      <color indexed="8"/>
      <name val="Calibri"/>
      <family val="2"/>
      <charset val="204"/>
    </font>
    <font>
      <sz val="16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</font>
    <font>
      <sz val="18"/>
      <color theme="1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41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10" fillId="0" borderId="0" applyFill="0" applyBorder="0" applyAlignment="0" applyProtection="0"/>
    <xf numFmtId="0" fontId="2" fillId="0" borderId="0"/>
    <xf numFmtId="0" fontId="10" fillId="0" borderId="0"/>
    <xf numFmtId="0" fontId="10" fillId="0" borderId="0"/>
    <xf numFmtId="0" fontId="1" fillId="0" borderId="0"/>
  </cellStyleXfs>
  <cellXfs count="301">
    <xf numFmtId="0" fontId="0" fillId="0" borderId="0" xfId="0"/>
    <xf numFmtId="0" fontId="3" fillId="0" borderId="0" xfId="2" applyFont="1"/>
    <xf numFmtId="0" fontId="3" fillId="0" borderId="0" xfId="2" applyFont="1" applyAlignment="1">
      <alignment horizontal="center"/>
    </xf>
    <xf numFmtId="0" fontId="3" fillId="0" borderId="0" xfId="2" applyFont="1" applyAlignment="1"/>
    <xf numFmtId="0" fontId="3" fillId="0" borderId="0" xfId="2" applyFont="1" applyAlignment="1">
      <alignment horizontal="center" vertical="center"/>
    </xf>
    <xf numFmtId="0" fontId="3" fillId="2" borderId="0" xfId="2" applyFont="1" applyFill="1" applyAlignment="1">
      <alignment horizontal="center" vertical="center"/>
    </xf>
    <xf numFmtId="0" fontId="3" fillId="0" borderId="0" xfId="2" applyFont="1" applyBorder="1"/>
    <xf numFmtId="0" fontId="5" fillId="0" borderId="0" xfId="2" applyFont="1" applyAlignment="1">
      <alignment horizontal="center" vertical="center"/>
    </xf>
    <xf numFmtId="0" fontId="2" fillId="0" borderId="0" xfId="2" applyAlignment="1">
      <alignment horizontal="center"/>
    </xf>
    <xf numFmtId="0" fontId="2" fillId="0" borderId="0" xfId="2" applyAlignment="1"/>
    <xf numFmtId="0" fontId="2" fillId="0" borderId="0" xfId="2"/>
    <xf numFmtId="0" fontId="2" fillId="0" borderId="0" xfId="2" applyAlignment="1">
      <alignment horizontal="center" vertical="center"/>
    </xf>
    <xf numFmtId="0" fontId="2" fillId="2" borderId="0" xfId="2" applyFill="1" applyAlignment="1">
      <alignment horizontal="center" vertical="center"/>
    </xf>
    <xf numFmtId="0" fontId="2" fillId="0" borderId="0" xfId="2" applyBorder="1"/>
    <xf numFmtId="0" fontId="6" fillId="4" borderId="1" xfId="2" applyFont="1" applyFill="1" applyBorder="1" applyAlignment="1">
      <alignment vertical="top" wrapText="1"/>
    </xf>
    <xf numFmtId="0" fontId="7" fillId="3" borderId="20" xfId="2" applyFont="1" applyFill="1" applyBorder="1" applyAlignment="1">
      <alignment vertical="center" wrapText="1"/>
    </xf>
    <xf numFmtId="0" fontId="7" fillId="3" borderId="1" xfId="2" applyFont="1" applyFill="1" applyBorder="1" applyAlignment="1">
      <alignment vertical="center" wrapText="1"/>
    </xf>
    <xf numFmtId="0" fontId="8" fillId="2" borderId="21" xfId="2" applyFont="1" applyFill="1" applyBorder="1" applyAlignment="1">
      <alignment horizontal="center"/>
    </xf>
    <xf numFmtId="0" fontId="7" fillId="3" borderId="20" xfId="2" applyFont="1" applyFill="1" applyBorder="1" applyAlignment="1">
      <alignment horizontal="center" vertical="center" wrapText="1"/>
    </xf>
    <xf numFmtId="165" fontId="7" fillId="3" borderId="20" xfId="2" applyNumberFormat="1" applyFont="1" applyFill="1" applyBorder="1" applyAlignment="1">
      <alignment horizontal="center" vertical="center" wrapText="1"/>
    </xf>
    <xf numFmtId="165" fontId="7" fillId="2" borderId="20" xfId="2" applyNumberFormat="1" applyFont="1" applyFill="1" applyBorder="1" applyAlignment="1">
      <alignment horizontal="center" vertical="center" wrapText="1"/>
    </xf>
    <xf numFmtId="165" fontId="7" fillId="3" borderId="1" xfId="2" applyNumberFormat="1" applyFont="1" applyFill="1" applyBorder="1" applyAlignment="1">
      <alignment horizontal="center" vertical="center" wrapText="1"/>
    </xf>
    <xf numFmtId="0" fontId="8" fillId="2" borderId="0" xfId="2" applyFont="1" applyFill="1"/>
    <xf numFmtId="0" fontId="7" fillId="3" borderId="10" xfId="2" applyFont="1" applyFill="1" applyBorder="1" applyAlignment="1">
      <alignment vertical="center" wrapText="1"/>
    </xf>
    <xf numFmtId="0" fontId="7" fillId="3" borderId="1" xfId="2" applyFont="1" applyFill="1" applyBorder="1" applyAlignment="1">
      <alignment horizontal="center" vertical="center"/>
    </xf>
    <xf numFmtId="0" fontId="7" fillId="3" borderId="1" xfId="2" applyFont="1" applyFill="1" applyBorder="1" applyAlignment="1">
      <alignment horizontal="center" wrapText="1"/>
    </xf>
    <xf numFmtId="165" fontId="7" fillId="2" borderId="1" xfId="2" applyNumberFormat="1" applyFont="1" applyFill="1" applyBorder="1" applyAlignment="1">
      <alignment horizontal="center" vertical="center" wrapText="1"/>
    </xf>
    <xf numFmtId="166" fontId="7" fillId="3" borderId="1" xfId="2" applyNumberFormat="1" applyFont="1" applyFill="1" applyBorder="1" applyAlignment="1">
      <alignment horizontal="center" vertical="center" wrapText="1"/>
    </xf>
    <xf numFmtId="166" fontId="7" fillId="2" borderId="1" xfId="2" applyNumberFormat="1" applyFont="1" applyFill="1" applyBorder="1" applyAlignment="1">
      <alignment horizontal="center" vertical="center" wrapText="1"/>
    </xf>
    <xf numFmtId="0" fontId="8" fillId="2" borderId="0" xfId="2" applyFont="1" applyFill="1" applyBorder="1"/>
    <xf numFmtId="4" fontId="8" fillId="2" borderId="0" xfId="2" applyNumberFormat="1" applyFont="1" applyFill="1" applyAlignment="1">
      <alignment horizontal="center" vertical="center"/>
    </xf>
    <xf numFmtId="0" fontId="7" fillId="3" borderId="25" xfId="2" applyFont="1" applyFill="1" applyBorder="1" applyAlignment="1">
      <alignment vertical="center" wrapText="1"/>
    </xf>
    <xf numFmtId="0" fontId="7" fillId="3" borderId="7" xfId="2" applyFont="1" applyFill="1" applyBorder="1" applyAlignment="1">
      <alignment vertical="center" wrapText="1"/>
    </xf>
    <xf numFmtId="4" fontId="11" fillId="3" borderId="1" xfId="1" applyNumberFormat="1" applyFont="1" applyFill="1" applyBorder="1" applyAlignment="1">
      <alignment horizontal="center" vertical="center" wrapText="1"/>
    </xf>
    <xf numFmtId="4" fontId="7" fillId="3" borderId="24" xfId="2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6" fontId="7" fillId="3" borderId="2" xfId="2" applyNumberFormat="1" applyFont="1" applyFill="1" applyBorder="1" applyAlignment="1">
      <alignment horizontal="center" vertical="center" wrapText="1"/>
    </xf>
    <xf numFmtId="0" fontId="7" fillId="3" borderId="19" xfId="2" applyFont="1" applyFill="1" applyBorder="1" applyAlignment="1">
      <alignment horizontal="center" vertical="top" wrapText="1"/>
    </xf>
    <xf numFmtId="0" fontId="7" fillId="3" borderId="20" xfId="2" applyFont="1" applyFill="1" applyBorder="1" applyAlignment="1">
      <alignment horizontal="center"/>
    </xf>
    <xf numFmtId="166" fontId="7" fillId="3" borderId="20" xfId="2" applyNumberFormat="1" applyFont="1" applyFill="1" applyBorder="1" applyAlignment="1">
      <alignment horizontal="center" vertical="center" wrapText="1"/>
    </xf>
    <xf numFmtId="166" fontId="7" fillId="2" borderId="20" xfId="2" applyNumberFormat="1" applyFont="1" applyFill="1" applyBorder="1" applyAlignment="1">
      <alignment horizontal="center" vertical="center" wrapText="1"/>
    </xf>
    <xf numFmtId="0" fontId="7" fillId="3" borderId="21" xfId="2" applyFont="1" applyFill="1" applyBorder="1" applyAlignment="1">
      <alignment horizontal="center" vertical="center" wrapText="1"/>
    </xf>
    <xf numFmtId="0" fontId="7" fillId="3" borderId="37" xfId="2" applyFont="1" applyFill="1" applyBorder="1" applyAlignment="1">
      <alignment horizontal="center" vertical="center" wrapText="1"/>
    </xf>
    <xf numFmtId="0" fontId="7" fillId="3" borderId="38" xfId="2" applyFont="1" applyFill="1" applyBorder="1" applyAlignment="1">
      <alignment horizontal="center" vertical="center" wrapText="1"/>
    </xf>
    <xf numFmtId="166" fontId="7" fillId="3" borderId="20" xfId="2" applyNumberFormat="1" applyFont="1" applyFill="1" applyBorder="1" applyAlignment="1">
      <alignment vertical="center" wrapText="1"/>
    </xf>
    <xf numFmtId="166" fontId="7" fillId="3" borderId="37" xfId="2" applyNumberFormat="1" applyFont="1" applyFill="1" applyBorder="1" applyAlignment="1">
      <alignment horizontal="center" vertical="center" wrapText="1"/>
    </xf>
    <xf numFmtId="166" fontId="7" fillId="2" borderId="37" xfId="2" applyNumberFormat="1" applyFont="1" applyFill="1" applyBorder="1" applyAlignment="1">
      <alignment horizontal="center" vertical="center" wrapText="1"/>
    </xf>
    <xf numFmtId="0" fontId="8" fillId="2" borderId="16" xfId="2" applyFont="1" applyFill="1" applyBorder="1"/>
    <xf numFmtId="166" fontId="7" fillId="3" borderId="39" xfId="2" applyNumberFormat="1" applyFont="1" applyFill="1" applyBorder="1" applyAlignment="1">
      <alignment horizontal="center" vertical="center" wrapText="1"/>
    </xf>
    <xf numFmtId="166" fontId="7" fillId="3" borderId="19" xfId="2" applyNumberFormat="1" applyFont="1" applyFill="1" applyBorder="1" applyAlignment="1">
      <alignment horizontal="center" vertical="center" wrapText="1"/>
    </xf>
    <xf numFmtId="166" fontId="7" fillId="3" borderId="40" xfId="2" applyNumberFormat="1" applyFont="1" applyFill="1" applyBorder="1" applyAlignment="1">
      <alignment horizontal="center" vertical="center" wrapText="1"/>
    </xf>
    <xf numFmtId="4" fontId="7" fillId="2" borderId="1" xfId="2" applyNumberFormat="1" applyFont="1" applyFill="1" applyBorder="1" applyAlignment="1">
      <alignment horizontal="center" vertical="center" wrapText="1"/>
    </xf>
    <xf numFmtId="0" fontId="7" fillId="3" borderId="10" xfId="2" applyFont="1" applyFill="1" applyBorder="1" applyAlignment="1"/>
    <xf numFmtId="0" fontId="8" fillId="0" borderId="19" xfId="2" applyFont="1" applyBorder="1"/>
    <xf numFmtId="0" fontId="8" fillId="6" borderId="0" xfId="2" applyFont="1" applyFill="1" applyBorder="1"/>
    <xf numFmtId="0" fontId="8" fillId="6" borderId="0" xfId="2" applyFont="1" applyFill="1"/>
    <xf numFmtId="166" fontId="7" fillId="3" borderId="14" xfId="2" applyNumberFormat="1" applyFont="1" applyFill="1" applyBorder="1" applyAlignment="1">
      <alignment horizontal="center" vertical="center" wrapText="1"/>
    </xf>
    <xf numFmtId="0" fontId="8" fillId="0" borderId="0" xfId="2" applyFont="1" applyBorder="1"/>
    <xf numFmtId="0" fontId="8" fillId="0" borderId="0" xfId="2" applyFont="1"/>
    <xf numFmtId="0" fontId="8" fillId="0" borderId="18" xfId="2" applyFont="1" applyBorder="1"/>
    <xf numFmtId="0" fontId="8" fillId="2" borderId="41" xfId="2" applyFont="1" applyFill="1" applyBorder="1"/>
    <xf numFmtId="0" fontId="8" fillId="2" borderId="23" xfId="2" applyFont="1" applyFill="1" applyBorder="1"/>
    <xf numFmtId="0" fontId="8" fillId="2" borderId="42" xfId="2" applyFont="1" applyFill="1" applyBorder="1"/>
    <xf numFmtId="0" fontId="8" fillId="2" borderId="43" xfId="2" applyFont="1" applyFill="1" applyBorder="1"/>
    <xf numFmtId="0" fontId="7" fillId="3" borderId="31" xfId="2" applyFont="1" applyFill="1" applyBorder="1" applyAlignment="1">
      <alignment horizontal="center"/>
    </xf>
    <xf numFmtId="0" fontId="8" fillId="0" borderId="34" xfId="2" applyFont="1" applyBorder="1"/>
    <xf numFmtId="166" fontId="7" fillId="3" borderId="8" xfId="2" applyNumberFormat="1" applyFont="1" applyFill="1" applyBorder="1" applyAlignment="1">
      <alignment horizontal="center" vertical="center" wrapText="1"/>
    </xf>
    <xf numFmtId="0" fontId="7" fillId="0" borderId="17" xfId="2" applyFont="1" applyBorder="1" applyAlignment="1">
      <alignment horizontal="center" vertical="center" wrapText="1"/>
    </xf>
    <xf numFmtId="0" fontId="8" fillId="0" borderId="18" xfId="2" applyFont="1" applyBorder="1" applyAlignment="1">
      <alignment horizontal="center" vertical="top"/>
    </xf>
    <xf numFmtId="0" fontId="8" fillId="0" borderId="0" xfId="2" applyFont="1" applyAlignment="1">
      <alignment horizontal="center"/>
    </xf>
    <xf numFmtId="0" fontId="8" fillId="0" borderId="0" xfId="2" applyFont="1" applyAlignment="1"/>
    <xf numFmtId="0" fontId="8" fillId="0" borderId="0" xfId="2" applyFont="1" applyAlignment="1">
      <alignment horizontal="center" vertical="center"/>
    </xf>
    <xf numFmtId="0" fontId="8" fillId="2" borderId="0" xfId="2" applyFont="1" applyFill="1" applyAlignment="1">
      <alignment horizontal="center" vertical="center"/>
    </xf>
    <xf numFmtId="14" fontId="8" fillId="0" borderId="0" xfId="2" applyNumberFormat="1" applyFont="1" applyAlignment="1">
      <alignment horizontal="center"/>
    </xf>
    <xf numFmtId="0" fontId="14" fillId="0" borderId="0" xfId="2" applyFont="1"/>
    <xf numFmtId="0" fontId="14" fillId="0" borderId="0" xfId="2" applyFont="1" applyAlignment="1">
      <alignment horizontal="center"/>
    </xf>
    <xf numFmtId="0" fontId="14" fillId="0" borderId="0" xfId="2" applyFont="1" applyAlignment="1"/>
    <xf numFmtId="4" fontId="14" fillId="0" borderId="0" xfId="2" applyNumberFormat="1" applyFont="1" applyAlignment="1">
      <alignment horizontal="center" vertical="center"/>
    </xf>
    <xf numFmtId="0" fontId="14" fillId="2" borderId="0" xfId="2" applyFont="1" applyFill="1" applyAlignment="1">
      <alignment horizontal="center" vertical="center"/>
    </xf>
    <xf numFmtId="0" fontId="14" fillId="0" borderId="0" xfId="2" applyFont="1" applyAlignment="1">
      <alignment horizontal="center" vertical="center"/>
    </xf>
    <xf numFmtId="4" fontId="2" fillId="0" borderId="0" xfId="2" applyNumberFormat="1" applyAlignment="1">
      <alignment horizontal="center" vertical="center"/>
    </xf>
    <xf numFmtId="0" fontId="3" fillId="2" borderId="0" xfId="2" applyFont="1" applyFill="1"/>
    <xf numFmtId="0" fontId="8" fillId="2" borderId="19" xfId="2" applyFont="1" applyFill="1" applyBorder="1"/>
    <xf numFmtId="0" fontId="14" fillId="2" borderId="0" xfId="2" applyFont="1" applyFill="1"/>
    <xf numFmtId="0" fontId="4" fillId="0" borderId="0" xfId="2" applyFont="1" applyBorder="1" applyAlignment="1">
      <alignment horizontal="center"/>
    </xf>
    <xf numFmtId="0" fontId="4" fillId="0" borderId="0" xfId="2" applyFont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wrapText="1"/>
    </xf>
    <xf numFmtId="0" fontId="6" fillId="3" borderId="8" xfId="2" applyFont="1" applyFill="1" applyBorder="1" applyAlignment="1">
      <alignment horizontal="center" vertical="center" wrapText="1"/>
    </xf>
    <xf numFmtId="0" fontId="6" fillId="3" borderId="19" xfId="2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0" fontId="6" fillId="3" borderId="14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9" fillId="3" borderId="0" xfId="2" applyFont="1" applyFill="1" applyBorder="1" applyAlignment="1">
      <alignment horizontal="center" vertical="center" wrapText="1"/>
    </xf>
    <xf numFmtId="0" fontId="7" fillId="3" borderId="0" xfId="2" applyFont="1" applyFill="1" applyBorder="1" applyAlignment="1">
      <alignment horizontal="center" vertical="center" wrapText="1"/>
    </xf>
    <xf numFmtId="0" fontId="7" fillId="2" borderId="0" xfId="2" applyFont="1" applyFill="1" applyBorder="1" applyAlignment="1">
      <alignment vertical="center" wrapText="1"/>
    </xf>
    <xf numFmtId="0" fontId="7" fillId="3" borderId="1" xfId="2" applyFont="1" applyFill="1" applyBorder="1" applyAlignment="1">
      <alignment horizontal="center"/>
    </xf>
    <xf numFmtId="0" fontId="7" fillId="3" borderId="22" xfId="2" applyFont="1" applyFill="1" applyBorder="1" applyAlignment="1">
      <alignment horizontal="center" vertical="center" wrapText="1"/>
    </xf>
    <xf numFmtId="0" fontId="7" fillId="3" borderId="23" xfId="2" applyFont="1" applyFill="1" applyBorder="1" applyAlignment="1">
      <alignment horizontal="center" vertical="center" wrapText="1"/>
    </xf>
    <xf numFmtId="0" fontId="7" fillId="3" borderId="24" xfId="2" applyFont="1" applyFill="1" applyBorder="1" applyAlignment="1">
      <alignment horizontal="center" vertical="center" wrapText="1"/>
    </xf>
    <xf numFmtId="0" fontId="7" fillId="3" borderId="25" xfId="2" applyFont="1" applyFill="1" applyBorder="1" applyAlignment="1">
      <alignment horizontal="center" vertical="center" wrapText="1"/>
    </xf>
    <xf numFmtId="0" fontId="7" fillId="3" borderId="10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7" fillId="3" borderId="26" xfId="2" applyFont="1" applyFill="1" applyBorder="1" applyAlignment="1">
      <alignment horizontal="center" vertical="center" wrapText="1"/>
    </xf>
    <xf numFmtId="0" fontId="7" fillId="3" borderId="28" xfId="2" applyFont="1" applyFill="1" applyBorder="1" applyAlignment="1">
      <alignment horizontal="center" vertical="center" wrapText="1"/>
    </xf>
    <xf numFmtId="0" fontId="7" fillId="3" borderId="25" xfId="2" applyFont="1" applyFill="1" applyBorder="1" applyAlignment="1">
      <alignment horizontal="center"/>
    </xf>
    <xf numFmtId="0" fontId="7" fillId="3" borderId="10" xfId="2" applyFont="1" applyFill="1" applyBorder="1" applyAlignment="1">
      <alignment horizontal="center"/>
    </xf>
    <xf numFmtId="166" fontId="7" fillId="3" borderId="24" xfId="2" applyNumberFormat="1" applyFont="1" applyFill="1" applyBorder="1" applyAlignment="1">
      <alignment horizontal="center" vertical="center" wrapText="1"/>
    </xf>
    <xf numFmtId="166" fontId="7" fillId="3" borderId="10" xfId="2" applyNumberFormat="1" applyFont="1" applyFill="1" applyBorder="1" applyAlignment="1">
      <alignment horizontal="center" vertical="center" wrapText="1"/>
    </xf>
    <xf numFmtId="168" fontId="7" fillId="3" borderId="26" xfId="2" applyNumberFormat="1" applyFont="1" applyFill="1" applyBorder="1" applyAlignment="1">
      <alignment horizontal="center" vertical="center" wrapText="1"/>
    </xf>
    <xf numFmtId="168" fontId="7" fillId="3" borderId="28" xfId="2" applyNumberFormat="1" applyFont="1" applyFill="1" applyBorder="1" applyAlignment="1">
      <alignment horizontal="center" vertical="center" wrapText="1"/>
    </xf>
    <xf numFmtId="168" fontId="7" fillId="3" borderId="22" xfId="2" applyNumberFormat="1" applyFont="1" applyFill="1" applyBorder="1" applyAlignment="1">
      <alignment horizontal="center" vertical="center" wrapText="1"/>
    </xf>
    <xf numFmtId="166" fontId="7" fillId="3" borderId="32" xfId="2" applyNumberFormat="1" applyFont="1" applyFill="1" applyBorder="1" applyAlignment="1">
      <alignment horizontal="center" vertical="center" wrapText="1"/>
    </xf>
    <xf numFmtId="0" fontId="7" fillId="3" borderId="8" xfId="2" applyFont="1" applyFill="1" applyBorder="1" applyAlignment="1">
      <alignment horizontal="center" vertical="center" wrapText="1"/>
    </xf>
    <xf numFmtId="0" fontId="9" fillId="3" borderId="28" xfId="2" applyFont="1" applyFill="1" applyBorder="1" applyAlignment="1">
      <alignment horizontal="center" vertical="center" wrapText="1"/>
    </xf>
    <xf numFmtId="0" fontId="7" fillId="3" borderId="19" xfId="2" applyFont="1" applyFill="1" applyBorder="1" applyAlignment="1">
      <alignment horizontal="center" vertical="center" wrapText="1"/>
    </xf>
    <xf numFmtId="0" fontId="7" fillId="0" borderId="34" xfId="2" applyFont="1" applyBorder="1" applyAlignment="1">
      <alignment horizontal="center" vertical="center"/>
    </xf>
    <xf numFmtId="0" fontId="7" fillId="0" borderId="49" xfId="2" applyFont="1" applyBorder="1" applyAlignment="1">
      <alignment horizontal="center" vertical="center"/>
    </xf>
    <xf numFmtId="0" fontId="7" fillId="0" borderId="18" xfId="2" applyFont="1" applyBorder="1" applyAlignment="1">
      <alignment horizontal="center" vertical="center"/>
    </xf>
    <xf numFmtId="0" fontId="7" fillId="2" borderId="18" xfId="2" applyFont="1" applyFill="1" applyBorder="1" applyAlignment="1">
      <alignment horizontal="center" vertical="center"/>
    </xf>
    <xf numFmtId="0" fontId="13" fillId="0" borderId="18" xfId="0" applyFont="1" applyBorder="1" applyAlignment="1">
      <alignment vertical="center"/>
    </xf>
    <xf numFmtId="0" fontId="15" fillId="0" borderId="0" xfId="2" applyFont="1" applyFill="1" applyAlignment="1">
      <alignment horizontal="center" vertical="center"/>
    </xf>
    <xf numFmtId="0" fontId="16" fillId="0" borderId="0" xfId="2" applyFont="1" applyFill="1" applyAlignment="1">
      <alignment horizontal="center" vertical="center"/>
    </xf>
    <xf numFmtId="0" fontId="17" fillId="0" borderId="1" xfId="2" applyFont="1" applyFill="1" applyBorder="1" applyAlignment="1">
      <alignment horizontal="center" vertical="center" wrapText="1"/>
    </xf>
    <xf numFmtId="165" fontId="18" fillId="0" borderId="20" xfId="2" applyNumberFormat="1" applyFont="1" applyFill="1" applyBorder="1" applyAlignment="1">
      <alignment horizontal="center" vertical="center" wrapText="1"/>
    </xf>
    <xf numFmtId="165" fontId="18" fillId="0" borderId="1" xfId="2" applyNumberFormat="1" applyFont="1" applyFill="1" applyBorder="1" applyAlignment="1">
      <alignment horizontal="center" vertical="center" wrapText="1"/>
    </xf>
    <xf numFmtId="166" fontId="18" fillId="0" borderId="1" xfId="2" applyNumberFormat="1" applyFont="1" applyFill="1" applyBorder="1" applyAlignment="1">
      <alignment horizontal="center" vertical="center" wrapText="1"/>
    </xf>
    <xf numFmtId="4" fontId="18" fillId="0" borderId="24" xfId="2" applyNumberFormat="1" applyFont="1" applyFill="1" applyBorder="1" applyAlignment="1">
      <alignment horizontal="center" vertical="center" wrapText="1"/>
    </xf>
    <xf numFmtId="166" fontId="18" fillId="0" borderId="24" xfId="2" applyNumberFormat="1" applyFont="1" applyFill="1" applyBorder="1" applyAlignment="1">
      <alignment horizontal="center" vertical="center" wrapText="1"/>
    </xf>
    <xf numFmtId="166" fontId="18" fillId="0" borderId="20" xfId="2" applyNumberFormat="1" applyFont="1" applyFill="1" applyBorder="1" applyAlignment="1">
      <alignment horizontal="center" vertical="center" wrapText="1"/>
    </xf>
    <xf numFmtId="166" fontId="18" fillId="0" borderId="20" xfId="2" applyNumberFormat="1" applyFont="1" applyFill="1" applyBorder="1" applyAlignment="1">
      <alignment vertical="center" wrapText="1"/>
    </xf>
    <xf numFmtId="166" fontId="18" fillId="0" borderId="37" xfId="2" applyNumberFormat="1" applyFont="1" applyFill="1" applyBorder="1" applyAlignment="1">
      <alignment horizontal="center" vertical="center" wrapText="1"/>
    </xf>
    <xf numFmtId="166" fontId="18" fillId="0" borderId="32" xfId="2" applyNumberFormat="1" applyFont="1" applyFill="1" applyBorder="1" applyAlignment="1">
      <alignment horizontal="center" vertical="center" wrapText="1"/>
    </xf>
    <xf numFmtId="166" fontId="18" fillId="0" borderId="10" xfId="2" applyNumberFormat="1" applyFont="1" applyFill="1" applyBorder="1" applyAlignment="1">
      <alignment horizontal="center" vertical="center" wrapText="1"/>
    </xf>
    <xf numFmtId="0" fontId="20" fillId="0" borderId="0" xfId="2" applyFont="1" applyFill="1" applyAlignment="1">
      <alignment horizontal="center" vertical="center"/>
    </xf>
    <xf numFmtId="0" fontId="21" fillId="0" borderId="0" xfId="2" applyFont="1" applyFill="1" applyAlignment="1">
      <alignment horizontal="center" vertical="center"/>
    </xf>
    <xf numFmtId="0" fontId="6" fillId="3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166" fontId="7" fillId="2" borderId="24" xfId="2" applyNumberFormat="1" applyFont="1" applyFill="1" applyBorder="1" applyAlignment="1">
      <alignment horizontal="center" vertical="center" wrapText="1"/>
    </xf>
    <xf numFmtId="166" fontId="7" fillId="2" borderId="10" xfId="2" applyNumberFormat="1" applyFont="1" applyFill="1" applyBorder="1" applyAlignment="1">
      <alignment horizontal="center" vertical="center" wrapText="1"/>
    </xf>
    <xf numFmtId="166" fontId="7" fillId="3" borderId="24" xfId="2" applyNumberFormat="1" applyFont="1" applyFill="1" applyBorder="1" applyAlignment="1">
      <alignment horizontal="center" vertical="center" wrapText="1"/>
    </xf>
    <xf numFmtId="166" fontId="7" fillId="3" borderId="10" xfId="2" applyNumberFormat="1" applyFont="1" applyFill="1" applyBorder="1" applyAlignment="1">
      <alignment horizontal="center" vertical="center" wrapText="1"/>
    </xf>
    <xf numFmtId="166" fontId="7" fillId="3" borderId="32" xfId="2" applyNumberFormat="1" applyFont="1" applyFill="1" applyBorder="1" applyAlignment="1">
      <alignment horizontal="center" vertical="center" wrapText="1"/>
    </xf>
    <xf numFmtId="4" fontId="7" fillId="2" borderId="24" xfId="2" applyNumberFormat="1" applyFont="1" applyFill="1" applyBorder="1" applyAlignment="1">
      <alignment horizontal="center" vertical="center" wrapText="1"/>
    </xf>
    <xf numFmtId="166" fontId="7" fillId="2" borderId="20" xfId="2" applyNumberFormat="1" applyFont="1" applyFill="1" applyBorder="1" applyAlignment="1">
      <alignment vertical="center" wrapText="1"/>
    </xf>
    <xf numFmtId="166" fontId="7" fillId="2" borderId="32" xfId="2" applyNumberFormat="1" applyFont="1" applyFill="1" applyBorder="1" applyAlignment="1">
      <alignment horizontal="center" vertical="center" wrapText="1"/>
    </xf>
    <xf numFmtId="166" fontId="18" fillId="2" borderId="20" xfId="2" applyNumberFormat="1" applyFont="1" applyFill="1" applyBorder="1" applyAlignment="1">
      <alignment horizontal="center" vertical="center" wrapText="1"/>
    </xf>
    <xf numFmtId="166" fontId="7" fillId="2" borderId="14" xfId="2" applyNumberFormat="1" applyFont="1" applyFill="1" applyBorder="1" applyAlignment="1">
      <alignment horizontal="center" vertical="center" wrapText="1"/>
    </xf>
    <xf numFmtId="166" fontId="7" fillId="2" borderId="8" xfId="2" applyNumberFormat="1" applyFont="1" applyFill="1" applyBorder="1" applyAlignment="1">
      <alignment horizontal="center" vertical="center" wrapText="1"/>
    </xf>
    <xf numFmtId="0" fontId="7" fillId="0" borderId="34" xfId="2" applyFont="1" applyBorder="1" applyAlignment="1">
      <alignment horizontal="center" vertical="center"/>
    </xf>
    <xf numFmtId="0" fontId="7" fillId="0" borderId="49" xfId="2" applyFont="1" applyBorder="1" applyAlignment="1">
      <alignment horizontal="center" vertical="center"/>
    </xf>
    <xf numFmtId="0" fontId="7" fillId="0" borderId="18" xfId="2" applyFont="1" applyBorder="1" applyAlignment="1">
      <alignment horizontal="center" vertical="center"/>
    </xf>
    <xf numFmtId="0" fontId="7" fillId="2" borderId="34" xfId="2" applyFont="1" applyFill="1" applyBorder="1" applyAlignment="1">
      <alignment horizontal="center" vertical="center"/>
    </xf>
    <xf numFmtId="0" fontId="7" fillId="2" borderId="49" xfId="2" applyFont="1" applyFill="1" applyBorder="1" applyAlignment="1">
      <alignment horizontal="center" vertical="center"/>
    </xf>
    <xf numFmtId="0" fontId="7" fillId="2" borderId="18" xfId="2" applyFont="1" applyFill="1" applyBorder="1" applyAlignment="1">
      <alignment horizontal="center" vertical="center"/>
    </xf>
    <xf numFmtId="0" fontId="9" fillId="3" borderId="24" xfId="2" applyFont="1" applyFill="1" applyBorder="1" applyAlignment="1">
      <alignment horizontal="center" vertical="center" wrapText="1"/>
    </xf>
    <xf numFmtId="0" fontId="9" fillId="3" borderId="25" xfId="2" applyFont="1" applyFill="1" applyBorder="1" applyAlignment="1">
      <alignment horizontal="center" vertical="center" wrapText="1"/>
    </xf>
    <xf numFmtId="0" fontId="9" fillId="3" borderId="10" xfId="2" applyFont="1" applyFill="1" applyBorder="1" applyAlignment="1">
      <alignment horizontal="center" vertical="center" wrapText="1"/>
    </xf>
    <xf numFmtId="0" fontId="7" fillId="3" borderId="24" xfId="2" applyFont="1" applyFill="1" applyBorder="1" applyAlignment="1">
      <alignment horizontal="center" vertical="center" wrapText="1"/>
    </xf>
    <xf numFmtId="0" fontId="7" fillId="3" borderId="25" xfId="2" applyFont="1" applyFill="1" applyBorder="1" applyAlignment="1">
      <alignment horizontal="center" vertical="center" wrapText="1"/>
    </xf>
    <xf numFmtId="0" fontId="7" fillId="3" borderId="10" xfId="2" applyFont="1" applyFill="1" applyBorder="1" applyAlignment="1">
      <alignment horizontal="center" vertical="center" wrapText="1"/>
    </xf>
    <xf numFmtId="0" fontId="7" fillId="0" borderId="34" xfId="2" applyFont="1" applyBorder="1" applyAlignment="1">
      <alignment vertical="center" wrapText="1"/>
    </xf>
    <xf numFmtId="0" fontId="7" fillId="0" borderId="49" xfId="2" applyFont="1" applyBorder="1" applyAlignment="1">
      <alignment vertical="center" wrapText="1"/>
    </xf>
    <xf numFmtId="0" fontId="7" fillId="0" borderId="18" xfId="2" applyFont="1" applyBorder="1" applyAlignment="1">
      <alignment vertical="center" wrapText="1"/>
    </xf>
    <xf numFmtId="0" fontId="7" fillId="0" borderId="34" xfId="2" applyFont="1" applyBorder="1" applyAlignment="1">
      <alignment horizontal="center" vertical="center" wrapText="1"/>
    </xf>
    <xf numFmtId="0" fontId="7" fillId="0" borderId="49" xfId="2" applyFont="1" applyBorder="1" applyAlignment="1">
      <alignment horizontal="center" vertical="center" wrapText="1"/>
    </xf>
    <xf numFmtId="0" fontId="7" fillId="0" borderId="18" xfId="2" applyFont="1" applyBorder="1" applyAlignment="1">
      <alignment horizontal="center" vertical="center" wrapText="1"/>
    </xf>
    <xf numFmtId="0" fontId="8" fillId="0" borderId="34" xfId="2" applyFont="1" applyBorder="1" applyAlignment="1">
      <alignment horizontal="center" vertical="center"/>
    </xf>
    <xf numFmtId="0" fontId="8" fillId="0" borderId="49" xfId="2" applyFont="1" applyBorder="1" applyAlignment="1">
      <alignment horizontal="center" vertical="center"/>
    </xf>
    <xf numFmtId="0" fontId="8" fillId="0" borderId="18" xfId="2" applyFont="1" applyBorder="1" applyAlignment="1">
      <alignment horizontal="center" vertical="center"/>
    </xf>
    <xf numFmtId="0" fontId="13" fillId="0" borderId="18" xfId="0" applyFont="1" applyBorder="1" applyAlignment="1">
      <alignment vertical="center"/>
    </xf>
    <xf numFmtId="0" fontId="8" fillId="0" borderId="34" xfId="2" applyFont="1" applyBorder="1" applyAlignment="1">
      <alignment horizontal="center" vertical="top"/>
    </xf>
    <xf numFmtId="0" fontId="13" fillId="0" borderId="18" xfId="0" applyFont="1" applyBorder="1"/>
    <xf numFmtId="0" fontId="7" fillId="3" borderId="31" xfId="2" applyFont="1" applyFill="1" applyBorder="1" applyAlignment="1">
      <alignment horizontal="center" vertical="center" wrapText="1"/>
    </xf>
    <xf numFmtId="0" fontId="8" fillId="0" borderId="34" xfId="2" applyFont="1" applyBorder="1" applyAlignment="1">
      <alignment horizontal="center"/>
    </xf>
    <xf numFmtId="0" fontId="8" fillId="0" borderId="49" xfId="2" applyFont="1" applyBorder="1" applyAlignment="1">
      <alignment horizontal="center"/>
    </xf>
    <xf numFmtId="0" fontId="8" fillId="0" borderId="18" xfId="2" applyFont="1" applyBorder="1" applyAlignment="1">
      <alignment horizontal="center"/>
    </xf>
    <xf numFmtId="0" fontId="13" fillId="2" borderId="18" xfId="0" applyFont="1" applyFill="1" applyBorder="1" applyAlignment="1">
      <alignment vertical="center"/>
    </xf>
    <xf numFmtId="0" fontId="7" fillId="3" borderId="32" xfId="2" applyFont="1" applyFill="1" applyBorder="1" applyAlignment="1">
      <alignment horizontal="center" vertical="center" wrapText="1"/>
    </xf>
    <xf numFmtId="0" fontId="7" fillId="0" borderId="33" xfId="2" applyFont="1" applyBorder="1" applyAlignment="1">
      <alignment vertical="center" wrapText="1"/>
    </xf>
    <xf numFmtId="0" fontId="7" fillId="0" borderId="28" xfId="2" applyFont="1" applyBorder="1" applyAlignment="1">
      <alignment vertical="center" wrapText="1"/>
    </xf>
    <xf numFmtId="0" fontId="7" fillId="0" borderId="50" xfId="2" applyFont="1" applyBorder="1" applyAlignment="1">
      <alignment vertical="center" wrapText="1"/>
    </xf>
    <xf numFmtId="0" fontId="7" fillId="0" borderId="34" xfId="2" applyFont="1" applyBorder="1" applyAlignment="1">
      <alignment horizontal="center"/>
    </xf>
    <xf numFmtId="0" fontId="7" fillId="0" borderId="49" xfId="2" applyFont="1" applyBorder="1" applyAlignment="1">
      <alignment horizontal="center"/>
    </xf>
    <xf numFmtId="0" fontId="7" fillId="0" borderId="18" xfId="2" applyFont="1" applyBorder="1" applyAlignment="1">
      <alignment horizontal="center"/>
    </xf>
    <xf numFmtId="0" fontId="0" fillId="0" borderId="18" xfId="0" applyBorder="1" applyAlignment="1">
      <alignment vertical="center"/>
    </xf>
    <xf numFmtId="0" fontId="0" fillId="2" borderId="18" xfId="0" applyFill="1" applyBorder="1" applyAlignment="1">
      <alignment vertical="center"/>
    </xf>
    <xf numFmtId="0" fontId="0" fillId="0" borderId="18" xfId="0" applyBorder="1"/>
    <xf numFmtId="0" fontId="12" fillId="3" borderId="24" xfId="2" applyFont="1" applyFill="1" applyBorder="1" applyAlignment="1">
      <alignment horizontal="center" vertical="center" wrapText="1"/>
    </xf>
    <xf numFmtId="0" fontId="12" fillId="3" borderId="25" xfId="2" applyFont="1" applyFill="1" applyBorder="1" applyAlignment="1">
      <alignment horizontal="center" vertical="center" wrapText="1"/>
    </xf>
    <xf numFmtId="0" fontId="12" fillId="3" borderId="10" xfId="2" applyFont="1" applyFill="1" applyBorder="1" applyAlignment="1">
      <alignment horizontal="center" vertical="center" wrapText="1"/>
    </xf>
    <xf numFmtId="0" fontId="7" fillId="3" borderId="19" xfId="2" applyFont="1" applyFill="1" applyBorder="1" applyAlignment="1">
      <alignment horizontal="center" vertical="center" wrapText="1"/>
    </xf>
    <xf numFmtId="0" fontId="7" fillId="3" borderId="44" xfId="2" applyFont="1" applyFill="1" applyBorder="1" applyAlignment="1">
      <alignment horizontal="center" vertical="center" wrapText="1"/>
    </xf>
    <xf numFmtId="0" fontId="7" fillId="3" borderId="46" xfId="2" applyFont="1" applyFill="1" applyBorder="1" applyAlignment="1">
      <alignment horizontal="center" vertical="center" wrapText="1"/>
    </xf>
    <xf numFmtId="0" fontId="7" fillId="3" borderId="47" xfId="2" applyFont="1" applyFill="1" applyBorder="1" applyAlignment="1">
      <alignment horizontal="center" vertical="center" wrapText="1"/>
    </xf>
    <xf numFmtId="0" fontId="7" fillId="3" borderId="45" xfId="2" applyFont="1" applyFill="1" applyBorder="1" applyAlignment="1">
      <alignment horizontal="center" vertical="center" wrapText="1"/>
    </xf>
    <xf numFmtId="0" fontId="7" fillId="3" borderId="7" xfId="2" applyFont="1" applyFill="1" applyBorder="1" applyAlignment="1">
      <alignment horizontal="center" vertical="center" wrapText="1"/>
    </xf>
    <xf numFmtId="0" fontId="7" fillId="3" borderId="48" xfId="2" applyFont="1" applyFill="1" applyBorder="1" applyAlignment="1">
      <alignment horizontal="center" vertical="center" wrapText="1"/>
    </xf>
    <xf numFmtId="0" fontId="9" fillId="3" borderId="28" xfId="2" applyFont="1" applyFill="1" applyBorder="1" applyAlignment="1">
      <alignment horizontal="center" vertical="center" wrapText="1"/>
    </xf>
    <xf numFmtId="0" fontId="7" fillId="3" borderId="24" xfId="2" applyFont="1" applyFill="1" applyBorder="1" applyAlignment="1">
      <alignment horizontal="center"/>
    </xf>
    <xf numFmtId="0" fontId="7" fillId="3" borderId="25" xfId="2" applyFont="1" applyFill="1" applyBorder="1" applyAlignment="1">
      <alignment horizontal="center"/>
    </xf>
    <xf numFmtId="0" fontId="7" fillId="3" borderId="10" xfId="2" applyFont="1" applyFill="1" applyBorder="1" applyAlignment="1">
      <alignment horizontal="center"/>
    </xf>
    <xf numFmtId="0" fontId="7" fillId="3" borderId="26" xfId="2" applyFont="1" applyFill="1" applyBorder="1" applyAlignment="1">
      <alignment horizontal="center" vertical="center" wrapText="1"/>
    </xf>
    <xf numFmtId="0" fontId="7" fillId="3" borderId="22" xfId="2" applyFont="1" applyFill="1" applyBorder="1" applyAlignment="1">
      <alignment horizontal="center" vertical="center" wrapText="1"/>
    </xf>
    <xf numFmtId="0" fontId="7" fillId="3" borderId="24" xfId="2" applyFont="1" applyFill="1" applyBorder="1" applyAlignment="1">
      <alignment horizontal="center" wrapText="1"/>
    </xf>
    <xf numFmtId="0" fontId="7" fillId="3" borderId="25" xfId="2" applyFont="1" applyFill="1" applyBorder="1" applyAlignment="1">
      <alignment horizontal="center" wrapText="1"/>
    </xf>
    <xf numFmtId="0" fontId="7" fillId="3" borderId="28" xfId="2" applyFont="1" applyFill="1" applyBorder="1" applyAlignment="1">
      <alignment horizontal="center" vertical="center" wrapText="1"/>
    </xf>
    <xf numFmtId="0" fontId="7" fillId="3" borderId="2" xfId="2" applyFont="1" applyFill="1" applyBorder="1" applyAlignment="1">
      <alignment horizontal="center" vertical="center" wrapText="1"/>
    </xf>
    <xf numFmtId="0" fontId="7" fillId="3" borderId="8" xfId="2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/>
    </xf>
    <xf numFmtId="0" fontId="7" fillId="3" borderId="1" xfId="2" applyFont="1" applyFill="1" applyBorder="1" applyAlignment="1">
      <alignment horizontal="center" vertical="center" wrapText="1"/>
    </xf>
    <xf numFmtId="0" fontId="7" fillId="0" borderId="24" xfId="2" applyFont="1" applyBorder="1" applyAlignment="1">
      <alignment horizontal="center" vertical="center" wrapText="1"/>
    </xf>
    <xf numFmtId="0" fontId="7" fillId="0" borderId="25" xfId="2" applyFont="1" applyBorder="1" applyAlignment="1">
      <alignment horizontal="center" vertical="center" wrapText="1"/>
    </xf>
    <xf numFmtId="0" fontId="7" fillId="0" borderId="31" xfId="2" applyFont="1" applyBorder="1" applyAlignment="1">
      <alignment horizontal="center" vertical="center" wrapText="1"/>
    </xf>
    <xf numFmtId="0" fontId="7" fillId="3" borderId="24" xfId="2" applyFont="1" applyFill="1" applyBorder="1" applyAlignment="1">
      <alignment horizontal="center" vertical="top" wrapText="1"/>
    </xf>
    <xf numFmtId="0" fontId="7" fillId="3" borderId="25" xfId="2" applyFont="1" applyFill="1" applyBorder="1" applyAlignment="1">
      <alignment horizontal="center" vertical="top" wrapText="1"/>
    </xf>
    <xf numFmtId="0" fontId="7" fillId="3" borderId="10" xfId="2" applyFont="1" applyFill="1" applyBorder="1" applyAlignment="1">
      <alignment horizontal="center" vertical="top" wrapText="1"/>
    </xf>
    <xf numFmtId="166" fontId="18" fillId="0" borderId="32" xfId="2" applyNumberFormat="1" applyFont="1" applyFill="1" applyBorder="1" applyAlignment="1">
      <alignment horizontal="center" vertical="center" wrapText="1"/>
    </xf>
    <xf numFmtId="166" fontId="18" fillId="0" borderId="10" xfId="2" applyNumberFormat="1" applyFont="1" applyFill="1" applyBorder="1" applyAlignment="1">
      <alignment horizontal="center" vertical="center" wrapText="1"/>
    </xf>
    <xf numFmtId="166" fontId="7" fillId="2" borderId="32" xfId="2" applyNumberFormat="1" applyFont="1" applyFill="1" applyBorder="1" applyAlignment="1">
      <alignment horizontal="center" vertical="center" wrapText="1"/>
    </xf>
    <xf numFmtId="166" fontId="7" fillId="2" borderId="10" xfId="2" applyNumberFormat="1" applyFont="1" applyFill="1" applyBorder="1" applyAlignment="1">
      <alignment horizontal="center" vertical="center" wrapText="1"/>
    </xf>
    <xf numFmtId="166" fontId="7" fillId="3" borderId="32" xfId="2" applyNumberFormat="1" applyFont="1" applyFill="1" applyBorder="1" applyAlignment="1">
      <alignment horizontal="center" vertical="center" wrapText="1"/>
    </xf>
    <xf numFmtId="166" fontId="7" fillId="3" borderId="10" xfId="2" applyNumberFormat="1" applyFont="1" applyFill="1" applyBorder="1" applyAlignment="1">
      <alignment horizontal="center" vertical="center" wrapText="1"/>
    </xf>
    <xf numFmtId="0" fontId="7" fillId="3" borderId="32" xfId="2" applyFont="1" applyFill="1" applyBorder="1" applyAlignment="1">
      <alignment horizontal="center"/>
    </xf>
    <xf numFmtId="0" fontId="7" fillId="3" borderId="33" xfId="2" applyFont="1" applyFill="1" applyBorder="1" applyAlignment="1">
      <alignment horizontal="center" vertical="center" wrapText="1"/>
    </xf>
    <xf numFmtId="0" fontId="7" fillId="3" borderId="34" xfId="2" applyFont="1" applyFill="1" applyBorder="1" applyAlignment="1">
      <alignment horizontal="center" vertical="center" wrapText="1"/>
    </xf>
    <xf numFmtId="0" fontId="7" fillId="3" borderId="36" xfId="2" applyFont="1" applyFill="1" applyBorder="1" applyAlignment="1">
      <alignment horizontal="center" vertical="center" wrapText="1"/>
    </xf>
    <xf numFmtId="0" fontId="7" fillId="3" borderId="35" xfId="2" applyFont="1" applyFill="1" applyBorder="1" applyAlignment="1">
      <alignment horizontal="center" vertical="center" wrapText="1"/>
    </xf>
    <xf numFmtId="0" fontId="7" fillId="3" borderId="30" xfId="2" applyFont="1" applyFill="1" applyBorder="1" applyAlignment="1">
      <alignment horizontal="center" vertical="center" wrapText="1"/>
    </xf>
    <xf numFmtId="0" fontId="7" fillId="3" borderId="24" xfId="2" applyNumberFormat="1" applyFont="1" applyFill="1" applyBorder="1" applyAlignment="1">
      <alignment horizontal="center" vertical="top" wrapText="1"/>
    </xf>
    <xf numFmtId="0" fontId="7" fillId="3" borderId="25" xfId="2" applyNumberFormat="1" applyFont="1" applyFill="1" applyBorder="1" applyAlignment="1">
      <alignment horizontal="center" vertical="top" wrapText="1"/>
    </xf>
    <xf numFmtId="0" fontId="7" fillId="3" borderId="10" xfId="2" applyNumberFormat="1" applyFont="1" applyFill="1" applyBorder="1" applyAlignment="1">
      <alignment horizontal="center" vertical="top" wrapText="1"/>
    </xf>
    <xf numFmtId="166" fontId="7" fillId="2" borderId="24" xfId="2" applyNumberFormat="1" applyFont="1" applyFill="1" applyBorder="1" applyAlignment="1">
      <alignment horizontal="center" vertical="center" wrapText="1"/>
    </xf>
    <xf numFmtId="166" fontId="7" fillId="3" borderId="24" xfId="2" applyNumberFormat="1" applyFont="1" applyFill="1" applyBorder="1" applyAlignment="1">
      <alignment horizontal="center" vertical="center" wrapText="1"/>
    </xf>
    <xf numFmtId="166" fontId="18" fillId="0" borderId="24" xfId="2" applyNumberFormat="1" applyFont="1" applyFill="1" applyBorder="1" applyAlignment="1">
      <alignment horizontal="center" vertical="center" wrapText="1"/>
    </xf>
    <xf numFmtId="165" fontId="7" fillId="3" borderId="24" xfId="2" applyNumberFormat="1" applyFont="1" applyFill="1" applyBorder="1" applyAlignment="1">
      <alignment horizontal="center" vertical="center" wrapText="1"/>
    </xf>
    <xf numFmtId="165" fontId="7" fillId="3" borderId="25" xfId="2" applyNumberFormat="1" applyFont="1" applyFill="1" applyBorder="1" applyAlignment="1">
      <alignment horizontal="center" vertical="center" wrapText="1"/>
    </xf>
    <xf numFmtId="165" fontId="7" fillId="3" borderId="10" xfId="2" applyNumberFormat="1" applyFont="1" applyFill="1" applyBorder="1" applyAlignment="1">
      <alignment horizontal="center" vertical="center" wrapText="1"/>
    </xf>
    <xf numFmtId="168" fontId="7" fillId="3" borderId="26" xfId="2" applyNumberFormat="1" applyFont="1" applyFill="1" applyBorder="1" applyAlignment="1">
      <alignment horizontal="center" vertical="center" wrapText="1"/>
    </xf>
    <xf numFmtId="168" fontId="7" fillId="3" borderId="28" xfId="2" applyNumberFormat="1" applyFont="1" applyFill="1" applyBorder="1" applyAlignment="1">
      <alignment horizontal="center" vertical="center" wrapText="1"/>
    </xf>
    <xf numFmtId="168" fontId="7" fillId="3" borderId="22" xfId="2" applyNumberFormat="1" applyFont="1" applyFill="1" applyBorder="1" applyAlignment="1">
      <alignment horizontal="center" vertical="center" wrapText="1"/>
    </xf>
    <xf numFmtId="167" fontId="7" fillId="3" borderId="24" xfId="2" applyNumberFormat="1" applyFont="1" applyFill="1" applyBorder="1" applyAlignment="1">
      <alignment horizontal="center" vertical="center" wrapText="1"/>
    </xf>
    <xf numFmtId="167" fontId="7" fillId="3" borderId="25" xfId="2" applyNumberFormat="1" applyFont="1" applyFill="1" applyBorder="1" applyAlignment="1">
      <alignment horizontal="center" vertical="center" wrapText="1"/>
    </xf>
    <xf numFmtId="167" fontId="7" fillId="3" borderId="10" xfId="2" applyNumberFormat="1" applyFont="1" applyFill="1" applyBorder="1" applyAlignment="1">
      <alignment horizontal="center" vertical="center" wrapText="1"/>
    </xf>
    <xf numFmtId="167" fontId="7" fillId="3" borderId="26" xfId="2" applyNumberFormat="1" applyFont="1" applyFill="1" applyBorder="1" applyAlignment="1">
      <alignment horizontal="center" vertical="center" wrapText="1"/>
    </xf>
    <xf numFmtId="167" fontId="7" fillId="3" borderId="28" xfId="2" applyNumberFormat="1" applyFont="1" applyFill="1" applyBorder="1" applyAlignment="1">
      <alignment horizontal="center" vertical="center" wrapText="1"/>
    </xf>
    <xf numFmtId="167" fontId="7" fillId="3" borderId="22" xfId="2" applyNumberFormat="1" applyFont="1" applyFill="1" applyBorder="1" applyAlignment="1">
      <alignment horizontal="center" vertical="center" wrapText="1"/>
    </xf>
    <xf numFmtId="0" fontId="7" fillId="5" borderId="0" xfId="2" applyFont="1" applyFill="1" applyBorder="1" applyAlignment="1">
      <alignment vertical="center" wrapText="1"/>
    </xf>
    <xf numFmtId="0" fontId="7" fillId="2" borderId="0" xfId="2" applyFont="1" applyFill="1" applyBorder="1" applyAlignment="1">
      <alignment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9" fillId="2" borderId="24" xfId="2" applyFont="1" applyFill="1" applyBorder="1" applyAlignment="1">
      <alignment horizontal="center" vertical="center" wrapText="1"/>
    </xf>
    <xf numFmtId="0" fontId="9" fillId="2" borderId="25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7" fillId="2" borderId="24" xfId="2" applyFont="1" applyFill="1" applyBorder="1" applyAlignment="1">
      <alignment horizontal="center" vertical="center" wrapText="1"/>
    </xf>
    <xf numFmtId="0" fontId="7" fillId="2" borderId="25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 vertical="center" wrapText="1"/>
    </xf>
    <xf numFmtId="0" fontId="7" fillId="5" borderId="0" xfId="2" applyFont="1" applyFill="1" applyBorder="1" applyAlignment="1">
      <alignment horizontal="center" vertical="center" wrapText="1"/>
    </xf>
    <xf numFmtId="0" fontId="7" fillId="3" borderId="27" xfId="2" applyFont="1" applyFill="1" applyBorder="1" applyAlignment="1">
      <alignment horizontal="center" vertical="center" wrapText="1"/>
    </xf>
    <xf numFmtId="0" fontId="7" fillId="3" borderId="29" xfId="2" applyFont="1" applyFill="1" applyBorder="1" applyAlignment="1">
      <alignment horizontal="center" vertical="center" wrapText="1"/>
    </xf>
    <xf numFmtId="0" fontId="9" fillId="3" borderId="0" xfId="2" applyFont="1" applyFill="1" applyBorder="1" applyAlignment="1">
      <alignment horizontal="center" vertical="center" wrapText="1"/>
    </xf>
    <xf numFmtId="0" fontId="7" fillId="3" borderId="23" xfId="2" applyFont="1" applyFill="1" applyBorder="1" applyAlignment="1">
      <alignment horizontal="center" vertical="center" wrapText="1"/>
    </xf>
    <xf numFmtId="0" fontId="7" fillId="3" borderId="0" xfId="2" applyFont="1" applyFill="1" applyBorder="1" applyAlignment="1">
      <alignment horizontal="center" vertical="center" wrapText="1"/>
    </xf>
    <xf numFmtId="0" fontId="9" fillId="3" borderId="1" xfId="2" applyFont="1" applyFill="1" applyBorder="1" applyAlignment="1">
      <alignment horizontal="center" vertical="center" wrapText="1"/>
    </xf>
    <xf numFmtId="0" fontId="4" fillId="0" borderId="0" xfId="2" applyFont="1" applyBorder="1" applyAlignment="1">
      <alignment horizontal="center"/>
    </xf>
    <xf numFmtId="0" fontId="4" fillId="0" borderId="0" xfId="2" applyFont="1" applyBorder="1" applyAlignment="1">
      <alignment horizontal="center" vertical="center"/>
    </xf>
    <xf numFmtId="0" fontId="6" fillId="3" borderId="1" xfId="2" applyFont="1" applyFill="1" applyBorder="1" applyAlignment="1">
      <alignment horizontal="center" vertical="center" wrapText="1"/>
    </xf>
    <xf numFmtId="0" fontId="6" fillId="3" borderId="2" xfId="2" applyFont="1" applyFill="1" applyBorder="1" applyAlignment="1">
      <alignment horizontal="center" vertical="center" wrapText="1"/>
    </xf>
    <xf numFmtId="0" fontId="6" fillId="3" borderId="3" xfId="2" applyFont="1" applyFill="1" applyBorder="1" applyAlignment="1">
      <alignment horizontal="center" vertical="center" wrapText="1"/>
    </xf>
    <xf numFmtId="0" fontId="6" fillId="3" borderId="7" xfId="2" applyFont="1" applyFill="1" applyBorder="1" applyAlignment="1">
      <alignment horizontal="center" vertical="center" wrapText="1"/>
    </xf>
    <xf numFmtId="0" fontId="6" fillId="3" borderId="0" xfId="2" applyFont="1" applyFill="1" applyBorder="1" applyAlignment="1">
      <alignment horizontal="center" vertical="center" wrapText="1"/>
    </xf>
    <xf numFmtId="0" fontId="6" fillId="3" borderId="8" xfId="2" applyFont="1" applyFill="1" applyBorder="1" applyAlignment="1">
      <alignment horizontal="center" vertical="center" wrapText="1"/>
    </xf>
    <xf numFmtId="0" fontId="6" fillId="3" borderId="9" xfId="2" applyFont="1" applyFill="1" applyBorder="1" applyAlignment="1">
      <alignment horizontal="center" vertical="center" wrapText="1"/>
    </xf>
    <xf numFmtId="0" fontId="6" fillId="3" borderId="4" xfId="2" applyFont="1" applyFill="1" applyBorder="1" applyAlignment="1">
      <alignment horizontal="center" vertical="center" wrapText="1"/>
    </xf>
    <xf numFmtId="0" fontId="6" fillId="3" borderId="5" xfId="2" applyFont="1" applyFill="1" applyBorder="1" applyAlignment="1">
      <alignment horizontal="center" vertical="center" wrapText="1"/>
    </xf>
    <xf numFmtId="0" fontId="6" fillId="3" borderId="6" xfId="2" applyFont="1" applyFill="1" applyBorder="1" applyAlignment="1">
      <alignment horizontal="center" vertical="center" wrapText="1"/>
    </xf>
    <xf numFmtId="0" fontId="6" fillId="4" borderId="4" xfId="2" applyFont="1" applyFill="1" applyBorder="1" applyAlignment="1">
      <alignment vertical="top" wrapText="1"/>
    </xf>
    <xf numFmtId="0" fontId="6" fillId="4" borderId="5" xfId="2" applyFont="1" applyFill="1" applyBorder="1" applyAlignment="1">
      <alignment vertical="top" wrapText="1"/>
    </xf>
    <xf numFmtId="0" fontId="6" fillId="4" borderId="6" xfId="2" applyFont="1" applyFill="1" applyBorder="1" applyAlignment="1">
      <alignment vertical="top" wrapText="1"/>
    </xf>
    <xf numFmtId="0" fontId="6" fillId="3" borderId="18" xfId="2" applyFont="1" applyFill="1" applyBorder="1" applyAlignment="1">
      <alignment horizontal="center" vertical="center" wrapText="1"/>
    </xf>
    <xf numFmtId="0" fontId="6" fillId="3" borderId="19" xfId="2" applyFont="1" applyFill="1" applyBorder="1" applyAlignment="1">
      <alignment horizontal="center" vertical="center" wrapText="1"/>
    </xf>
    <xf numFmtId="0" fontId="6" fillId="3" borderId="10" xfId="2" applyFont="1" applyFill="1" applyBorder="1" applyAlignment="1">
      <alignment horizontal="center" vertical="center" wrapText="1"/>
    </xf>
    <xf numFmtId="0" fontId="6" fillId="3" borderId="14" xfId="2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3" borderId="11" xfId="2" applyFont="1" applyFill="1" applyBorder="1" applyAlignment="1">
      <alignment horizontal="center" vertical="center" wrapText="1"/>
    </xf>
    <xf numFmtId="0" fontId="6" fillId="3" borderId="12" xfId="2" applyFont="1" applyFill="1" applyBorder="1" applyAlignment="1">
      <alignment horizontal="center" vertical="center" wrapText="1"/>
    </xf>
    <xf numFmtId="0" fontId="6" fillId="3" borderId="13" xfId="2" applyFont="1" applyFill="1" applyBorder="1" applyAlignment="1">
      <alignment horizontal="center" vertical="center" wrapText="1"/>
    </xf>
    <xf numFmtId="0" fontId="6" fillId="3" borderId="15" xfId="2" applyFont="1" applyFill="1" applyBorder="1" applyAlignment="1">
      <alignment horizontal="center" vertical="center" wrapText="1"/>
    </xf>
    <xf numFmtId="0" fontId="6" fillId="3" borderId="16" xfId="2" applyFont="1" applyFill="1" applyBorder="1" applyAlignment="1">
      <alignment horizontal="center" vertical="center" wrapText="1"/>
    </xf>
    <xf numFmtId="0" fontId="6" fillId="3" borderId="17" xfId="2" applyFont="1" applyFill="1" applyBorder="1" applyAlignment="1">
      <alignment horizontal="center" vertical="center" wrapText="1"/>
    </xf>
    <xf numFmtId="0" fontId="9" fillId="0" borderId="24" xfId="2" applyFont="1" applyFill="1" applyBorder="1" applyAlignment="1">
      <alignment horizontal="center"/>
    </xf>
    <xf numFmtId="0" fontId="9" fillId="0" borderId="24" xfId="2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166" fontId="9" fillId="0" borderId="1" xfId="2" applyNumberFormat="1" applyFont="1" applyFill="1" applyBorder="1" applyAlignment="1">
      <alignment horizontal="center" vertical="center" wrapText="1"/>
    </xf>
    <xf numFmtId="166" fontId="19" fillId="0" borderId="1" xfId="2" applyNumberFormat="1" applyFont="1" applyFill="1" applyBorder="1" applyAlignment="1">
      <alignment horizontal="center" vertical="center" wrapText="1"/>
    </xf>
    <xf numFmtId="0" fontId="8" fillId="0" borderId="0" xfId="2" applyFont="1" applyFill="1"/>
    <xf numFmtId="0" fontId="8" fillId="0" borderId="0" xfId="2" applyFont="1" applyFill="1" applyBorder="1"/>
    <xf numFmtId="0" fontId="9" fillId="0" borderId="25" xfId="2" applyFont="1" applyFill="1" applyBorder="1" applyAlignment="1">
      <alignment horizontal="center"/>
    </xf>
    <xf numFmtId="0" fontId="9" fillId="0" borderId="25" xfId="2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0" fontId="9" fillId="0" borderId="10" xfId="2" applyFont="1" applyFill="1" applyBorder="1" applyAlignment="1">
      <alignment horizontal="center"/>
    </xf>
    <xf numFmtId="0" fontId="9" fillId="0" borderId="10" xfId="2" applyFont="1" applyFill="1" applyBorder="1" applyAlignment="1">
      <alignment horizontal="center" vertical="center" wrapText="1"/>
    </xf>
  </cellXfs>
  <cellStyles count="6">
    <cellStyle name="Excel Built-in Normal" xfId="2"/>
    <cellStyle name="Денежный" xfId="1" builtinId="4"/>
    <cellStyle name="Обычный" xfId="0" builtinId="0"/>
    <cellStyle name="Обычный 2" xfId="3"/>
    <cellStyle name="Обычный 2 2" xfId="4"/>
    <cellStyle name="Обычный 3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2:BB297"/>
  <sheetViews>
    <sheetView tabSelected="1" view="pageBreakPreview" topLeftCell="A285" zoomScale="55" zoomScaleNormal="50" zoomScaleSheetLayoutView="55" workbookViewId="0">
      <selection sqref="A1:XFD1"/>
    </sheetView>
  </sheetViews>
  <sheetFormatPr defaultRowHeight="21" x14ac:dyDescent="0.35"/>
  <cols>
    <col min="1" max="1" width="7.7109375" style="10" customWidth="1"/>
    <col min="2" max="2" width="50.140625" style="8" customWidth="1"/>
    <col min="3" max="4" width="9.28515625" style="9" customWidth="1"/>
    <col min="5" max="5" width="29.28515625" style="10" customWidth="1"/>
    <col min="6" max="6" width="27.5703125" style="8" customWidth="1"/>
    <col min="7" max="7" width="40" style="11" customWidth="1"/>
    <col min="8" max="8" width="36.42578125" style="12" customWidth="1"/>
    <col min="9" max="9" width="39" style="12" customWidth="1"/>
    <col min="10" max="10" width="40.42578125" style="11" customWidth="1"/>
    <col min="11" max="11" width="40.140625" style="12" customWidth="1"/>
    <col min="12" max="12" width="43.42578125" style="12" customWidth="1"/>
    <col min="13" max="13" width="37.140625" style="121" customWidth="1"/>
    <col min="14" max="15" width="35.42578125" style="12" customWidth="1"/>
    <col min="16" max="16" width="38.28515625" style="12" customWidth="1"/>
    <col min="17" max="17" width="32.85546875" style="1" customWidth="1"/>
    <col min="18" max="19" width="9.28515625" style="1" customWidth="1"/>
    <col min="20" max="20" width="18.42578125" style="1" customWidth="1"/>
    <col min="21" max="21" width="17.28515625" style="1" customWidth="1"/>
    <col min="22" max="22" width="16.7109375" style="1" customWidth="1"/>
    <col min="23" max="23" width="17.140625" style="1" customWidth="1"/>
    <col min="24" max="24" width="18.140625" style="1" customWidth="1"/>
    <col min="25" max="25" width="17.42578125" style="81" customWidth="1"/>
    <col min="26" max="26" width="22" style="81" customWidth="1"/>
    <col min="27" max="28" width="22" style="1" customWidth="1"/>
    <col min="29" max="54" width="9.140625" style="13" customWidth="1"/>
    <col min="55" max="16384" width="9.140625" style="10"/>
  </cols>
  <sheetData>
    <row r="2" spans="1:54" s="1" customFormat="1" ht="18.75" customHeight="1" x14ac:dyDescent="0.35">
      <c r="B2" s="2"/>
      <c r="C2" s="3"/>
      <c r="D2" s="3"/>
      <c r="F2" s="2"/>
      <c r="G2" s="4"/>
      <c r="H2" s="5"/>
      <c r="I2" s="5"/>
      <c r="J2" s="4"/>
      <c r="K2" s="5"/>
      <c r="L2" s="5"/>
      <c r="M2" s="120"/>
      <c r="N2" s="5"/>
      <c r="O2" s="5"/>
      <c r="P2" s="5"/>
      <c r="Y2" s="81"/>
      <c r="Z2" s="81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</row>
    <row r="3" spans="1:54" s="1" customFormat="1" ht="18.75" customHeight="1" x14ac:dyDescent="0.35">
      <c r="B3" s="2"/>
      <c r="C3" s="3"/>
      <c r="D3" s="3"/>
      <c r="F3" s="2"/>
      <c r="G3" s="4"/>
      <c r="H3" s="5"/>
      <c r="I3" s="5"/>
      <c r="J3" s="4"/>
      <c r="K3" s="5"/>
      <c r="L3" s="5"/>
      <c r="M3" s="120"/>
      <c r="N3" s="5"/>
      <c r="O3" s="5"/>
      <c r="P3" s="5"/>
      <c r="Y3" s="81"/>
      <c r="Z3" s="81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</row>
    <row r="4" spans="1:54" s="1" customFormat="1" ht="18.75" customHeight="1" x14ac:dyDescent="0.35">
      <c r="B4" s="2"/>
      <c r="C4" s="3"/>
      <c r="D4" s="3"/>
      <c r="F4" s="2"/>
      <c r="G4" s="4"/>
      <c r="H4" s="5"/>
      <c r="I4" s="5"/>
      <c r="J4" s="4"/>
      <c r="K4" s="5"/>
      <c r="L4" s="5"/>
      <c r="M4" s="120"/>
      <c r="N4" s="5"/>
      <c r="O4" s="5"/>
      <c r="P4" s="5"/>
      <c r="Y4" s="81"/>
      <c r="Z4" s="81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</row>
    <row r="5" spans="1:54" s="1" customFormat="1" ht="18.75" customHeight="1" x14ac:dyDescent="0.35">
      <c r="B5" s="2"/>
      <c r="C5" s="3"/>
      <c r="D5" s="3"/>
      <c r="F5" s="2"/>
      <c r="G5" s="4"/>
      <c r="H5" s="5"/>
      <c r="I5" s="5"/>
      <c r="J5" s="4"/>
      <c r="K5" s="5"/>
      <c r="L5" s="5"/>
      <c r="M5" s="120"/>
      <c r="N5" s="5"/>
      <c r="O5" s="5"/>
      <c r="P5" s="5"/>
      <c r="Y5" s="81"/>
      <c r="Z5" s="81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</row>
    <row r="6" spans="1:54" s="1" customFormat="1" ht="18.75" customHeight="1" x14ac:dyDescent="0.35">
      <c r="B6" s="2"/>
      <c r="C6" s="3"/>
      <c r="D6" s="3"/>
      <c r="F6" s="2"/>
      <c r="G6" s="4"/>
      <c r="H6" s="5"/>
      <c r="I6" s="5"/>
      <c r="J6" s="4"/>
      <c r="K6" s="5"/>
      <c r="L6" s="5"/>
      <c r="M6" s="120"/>
      <c r="N6" s="5"/>
      <c r="O6" s="5"/>
      <c r="P6" s="5"/>
      <c r="Y6" s="81"/>
      <c r="Z6" s="81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</row>
    <row r="7" spans="1:54" s="1" customFormat="1" ht="18.75" customHeight="1" x14ac:dyDescent="0.35">
      <c r="B7" s="2"/>
      <c r="C7" s="3"/>
      <c r="D7" s="3"/>
      <c r="F7" s="2"/>
      <c r="G7" s="4"/>
      <c r="H7" s="5"/>
      <c r="I7" s="5"/>
      <c r="J7" s="4"/>
      <c r="K7" s="5"/>
      <c r="L7" s="5"/>
      <c r="M7" s="120"/>
      <c r="N7" s="5"/>
      <c r="O7" s="5"/>
      <c r="P7" s="5"/>
      <c r="Y7" s="81"/>
      <c r="Z7" s="81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</row>
    <row r="8" spans="1:54" s="1" customFormat="1" ht="18.75" customHeight="1" x14ac:dyDescent="0.35">
      <c r="B8" s="2"/>
      <c r="C8" s="3"/>
      <c r="D8" s="3"/>
      <c r="F8" s="2"/>
      <c r="G8" s="4"/>
      <c r="H8" s="5"/>
      <c r="I8" s="5"/>
      <c r="J8" s="4"/>
      <c r="K8" s="5"/>
      <c r="L8" s="5"/>
      <c r="M8" s="120"/>
      <c r="N8" s="5"/>
      <c r="O8" s="5"/>
      <c r="P8" s="5"/>
      <c r="Y8" s="81"/>
      <c r="Z8" s="81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</row>
    <row r="9" spans="1:54" s="1" customFormat="1" x14ac:dyDescent="0.35">
      <c r="A9" s="262" t="s">
        <v>0</v>
      </c>
      <c r="B9" s="262"/>
      <c r="C9" s="262"/>
      <c r="D9" s="262"/>
      <c r="E9" s="262"/>
      <c r="F9" s="262"/>
      <c r="G9" s="262"/>
      <c r="H9" s="262"/>
      <c r="I9" s="262"/>
      <c r="J9" s="262"/>
      <c r="K9" s="262"/>
      <c r="L9" s="262"/>
      <c r="M9" s="262"/>
      <c r="N9" s="262"/>
      <c r="O9" s="262"/>
      <c r="P9" s="262"/>
      <c r="Q9" s="262"/>
      <c r="R9" s="262"/>
      <c r="S9" s="262"/>
      <c r="T9" s="262"/>
      <c r="U9" s="262"/>
      <c r="V9" s="262"/>
      <c r="W9" s="262"/>
      <c r="X9" s="262"/>
      <c r="Y9" s="262"/>
      <c r="Z9" s="262"/>
      <c r="AA9" s="84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</row>
    <row r="10" spans="1:54" s="1" customFormat="1" x14ac:dyDescent="0.35">
      <c r="A10" s="263" t="s">
        <v>1</v>
      </c>
      <c r="B10" s="263"/>
      <c r="C10" s="263"/>
      <c r="D10" s="263"/>
      <c r="E10" s="263"/>
      <c r="F10" s="263"/>
      <c r="G10" s="263"/>
      <c r="H10" s="263"/>
      <c r="I10" s="263"/>
      <c r="J10" s="263"/>
      <c r="K10" s="263"/>
      <c r="L10" s="263"/>
      <c r="M10" s="263"/>
      <c r="N10" s="263"/>
      <c r="O10" s="263"/>
      <c r="P10" s="263"/>
      <c r="Q10" s="263"/>
      <c r="R10" s="263"/>
      <c r="S10" s="263"/>
      <c r="T10" s="263"/>
      <c r="U10" s="263"/>
      <c r="V10" s="263"/>
      <c r="W10" s="263"/>
      <c r="X10" s="263"/>
      <c r="Y10" s="263"/>
      <c r="Z10" s="263"/>
      <c r="AA10" s="85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</row>
    <row r="11" spans="1:54" x14ac:dyDescent="0.35">
      <c r="A11" s="7"/>
    </row>
    <row r="12" spans="1:54" ht="69" customHeight="1" x14ac:dyDescent="0.25">
      <c r="A12" s="264" t="s">
        <v>2</v>
      </c>
      <c r="B12" s="264" t="s">
        <v>3</v>
      </c>
      <c r="C12" s="264" t="s">
        <v>4</v>
      </c>
      <c r="D12" s="264"/>
      <c r="E12" s="264" t="s">
        <v>5</v>
      </c>
      <c r="F12" s="265" t="s">
        <v>6</v>
      </c>
      <c r="G12" s="266"/>
      <c r="H12" s="266"/>
      <c r="I12" s="266"/>
      <c r="J12" s="266"/>
      <c r="K12" s="266"/>
      <c r="L12" s="266"/>
      <c r="M12" s="266"/>
      <c r="N12" s="266"/>
      <c r="O12" s="266"/>
      <c r="P12" s="266"/>
      <c r="Q12" s="271" t="s">
        <v>7</v>
      </c>
      <c r="R12" s="272"/>
      <c r="S12" s="272"/>
      <c r="T12" s="272"/>
      <c r="U12" s="272"/>
      <c r="V12" s="272"/>
      <c r="W12" s="272"/>
      <c r="X12" s="272"/>
      <c r="Y12" s="272"/>
      <c r="Z12" s="272"/>
      <c r="AA12" s="272"/>
      <c r="AB12" s="273"/>
    </row>
    <row r="13" spans="1:54" ht="59.25" customHeight="1" x14ac:dyDescent="0.25">
      <c r="A13" s="264"/>
      <c r="B13" s="264"/>
      <c r="C13" s="264"/>
      <c r="D13" s="264"/>
      <c r="E13" s="264"/>
      <c r="F13" s="267"/>
      <c r="G13" s="268"/>
      <c r="H13" s="268"/>
      <c r="I13" s="268"/>
      <c r="J13" s="268"/>
      <c r="K13" s="268"/>
      <c r="L13" s="268"/>
      <c r="M13" s="268"/>
      <c r="N13" s="268"/>
      <c r="O13" s="268"/>
      <c r="P13" s="268"/>
      <c r="Q13" s="271" t="s">
        <v>8</v>
      </c>
      <c r="R13" s="272"/>
      <c r="S13" s="272"/>
      <c r="T13" s="272"/>
      <c r="U13" s="272"/>
      <c r="V13" s="272"/>
      <c r="W13" s="272"/>
      <c r="X13" s="272"/>
      <c r="Y13" s="272"/>
      <c r="Z13" s="272"/>
      <c r="AA13" s="272"/>
      <c r="AB13" s="273"/>
    </row>
    <row r="14" spans="1:54" ht="37.5" customHeight="1" x14ac:dyDescent="0.25">
      <c r="A14" s="264"/>
      <c r="B14" s="264"/>
      <c r="C14" s="264"/>
      <c r="D14" s="264"/>
      <c r="E14" s="264"/>
      <c r="F14" s="269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4"/>
      <c r="R14" s="275"/>
      <c r="S14" s="275"/>
      <c r="T14" s="275"/>
      <c r="U14" s="275"/>
      <c r="V14" s="275"/>
      <c r="W14" s="275"/>
      <c r="X14" s="275"/>
      <c r="Y14" s="275"/>
      <c r="Z14" s="275"/>
      <c r="AA14" s="275"/>
      <c r="AB14" s="276"/>
    </row>
    <row r="15" spans="1:54" ht="37.5" customHeight="1" x14ac:dyDescent="0.25">
      <c r="A15" s="264"/>
      <c r="B15" s="264"/>
      <c r="C15" s="264"/>
      <c r="D15" s="264"/>
      <c r="E15" s="264"/>
      <c r="F15" s="264" t="s">
        <v>9</v>
      </c>
      <c r="G15" s="264" t="s">
        <v>10</v>
      </c>
      <c r="H15" s="264"/>
      <c r="I15" s="264"/>
      <c r="J15" s="264"/>
      <c r="K15" s="264"/>
      <c r="L15" s="264"/>
      <c r="M15" s="264"/>
      <c r="N15" s="264"/>
      <c r="O15" s="135"/>
      <c r="P15" s="86"/>
      <c r="Q15" s="279" t="s">
        <v>11</v>
      </c>
      <c r="R15" s="87" t="s">
        <v>12</v>
      </c>
      <c r="S15" s="271" t="s">
        <v>13</v>
      </c>
      <c r="T15" s="272"/>
      <c r="U15" s="272"/>
      <c r="V15" s="272"/>
      <c r="W15" s="272"/>
      <c r="X15" s="272"/>
      <c r="Y15" s="272"/>
      <c r="Z15" s="272"/>
      <c r="AA15" s="272"/>
      <c r="AB15" s="273"/>
    </row>
    <row r="16" spans="1:54" ht="37.5" customHeight="1" x14ac:dyDescent="0.25">
      <c r="A16" s="264"/>
      <c r="B16" s="264"/>
      <c r="C16" s="264"/>
      <c r="D16" s="264"/>
      <c r="E16" s="264"/>
      <c r="F16" s="264"/>
      <c r="G16" s="264" t="s">
        <v>14</v>
      </c>
      <c r="H16" s="264" t="s">
        <v>15</v>
      </c>
      <c r="I16" s="264"/>
      <c r="J16" s="264"/>
      <c r="K16" s="264"/>
      <c r="L16" s="264"/>
      <c r="M16" s="264"/>
      <c r="N16" s="264"/>
      <c r="O16" s="135"/>
      <c r="P16" s="86"/>
      <c r="Q16" s="264"/>
      <c r="R16" s="86" t="s">
        <v>16</v>
      </c>
      <c r="S16" s="269" t="s">
        <v>14</v>
      </c>
      <c r="T16" s="283" t="s">
        <v>17</v>
      </c>
      <c r="U16" s="284"/>
      <c r="V16" s="284"/>
      <c r="W16" s="284"/>
      <c r="X16" s="284"/>
      <c r="Y16" s="284"/>
      <c r="Z16" s="284"/>
      <c r="AA16" s="284"/>
      <c r="AB16" s="285"/>
    </row>
    <row r="17" spans="1:54" ht="30.75" customHeight="1" x14ac:dyDescent="0.25">
      <c r="A17" s="264"/>
      <c r="B17" s="264"/>
      <c r="C17" s="264"/>
      <c r="D17" s="264"/>
      <c r="E17" s="264"/>
      <c r="F17" s="264"/>
      <c r="G17" s="264"/>
      <c r="H17" s="264" t="s">
        <v>8</v>
      </c>
      <c r="I17" s="264"/>
      <c r="J17" s="264"/>
      <c r="K17" s="264"/>
      <c r="L17" s="264"/>
      <c r="M17" s="264"/>
      <c r="N17" s="264"/>
      <c r="O17" s="135"/>
      <c r="P17" s="86"/>
      <c r="Q17" s="264"/>
      <c r="R17" s="14"/>
      <c r="S17" s="280"/>
      <c r="T17" s="286"/>
      <c r="U17" s="287"/>
      <c r="V17" s="287"/>
      <c r="W17" s="287"/>
      <c r="X17" s="287"/>
      <c r="Y17" s="287"/>
      <c r="Z17" s="287"/>
      <c r="AA17" s="287"/>
      <c r="AB17" s="288"/>
    </row>
    <row r="18" spans="1:54" ht="12.75" customHeight="1" x14ac:dyDescent="0.25">
      <c r="A18" s="264"/>
      <c r="B18" s="264"/>
      <c r="C18" s="264" t="s">
        <v>18</v>
      </c>
      <c r="D18" s="264" t="s">
        <v>19</v>
      </c>
      <c r="E18" s="264"/>
      <c r="F18" s="264"/>
      <c r="G18" s="264"/>
      <c r="H18" s="282">
        <v>2019</v>
      </c>
      <c r="I18" s="264">
        <v>2020</v>
      </c>
      <c r="J18" s="264">
        <v>2021</v>
      </c>
      <c r="K18" s="264">
        <v>2022</v>
      </c>
      <c r="L18" s="264">
        <v>2023</v>
      </c>
      <c r="M18" s="281">
        <v>2024</v>
      </c>
      <c r="N18" s="282">
        <v>2025</v>
      </c>
      <c r="O18" s="264">
        <v>2026</v>
      </c>
      <c r="P18" s="264">
        <v>2027</v>
      </c>
      <c r="Q18" s="264"/>
      <c r="R18" s="14"/>
      <c r="S18" s="264"/>
      <c r="T18" s="279">
        <v>2019</v>
      </c>
      <c r="U18" s="279">
        <v>2020</v>
      </c>
      <c r="V18" s="279">
        <v>2021</v>
      </c>
      <c r="W18" s="279">
        <v>2022</v>
      </c>
      <c r="X18" s="279">
        <v>2023</v>
      </c>
      <c r="Y18" s="269">
        <v>2024</v>
      </c>
      <c r="Z18" s="277">
        <v>2025</v>
      </c>
      <c r="AA18" s="277">
        <v>2026</v>
      </c>
      <c r="AB18" s="277">
        <v>2027</v>
      </c>
    </row>
    <row r="19" spans="1:54" ht="33.75" customHeight="1" x14ac:dyDescent="0.25">
      <c r="A19" s="264"/>
      <c r="B19" s="264"/>
      <c r="C19" s="264"/>
      <c r="D19" s="264"/>
      <c r="E19" s="264"/>
      <c r="F19" s="264"/>
      <c r="G19" s="264"/>
      <c r="H19" s="282"/>
      <c r="I19" s="264"/>
      <c r="J19" s="264"/>
      <c r="K19" s="264"/>
      <c r="L19" s="264"/>
      <c r="M19" s="281"/>
      <c r="N19" s="282"/>
      <c r="O19" s="264"/>
      <c r="P19" s="264"/>
      <c r="Q19" s="264"/>
      <c r="R19" s="14"/>
      <c r="S19" s="264"/>
      <c r="T19" s="264"/>
      <c r="U19" s="264"/>
      <c r="V19" s="264"/>
      <c r="W19" s="264"/>
      <c r="X19" s="264"/>
      <c r="Y19" s="280"/>
      <c r="Z19" s="278"/>
      <c r="AA19" s="278"/>
      <c r="AB19" s="278"/>
    </row>
    <row r="20" spans="1:54" ht="23.25" x14ac:dyDescent="0.25">
      <c r="A20" s="86">
        <v>1</v>
      </c>
      <c r="B20" s="86">
        <v>2</v>
      </c>
      <c r="C20" s="86">
        <v>3</v>
      </c>
      <c r="D20" s="86">
        <v>4</v>
      </c>
      <c r="E20" s="86">
        <v>5</v>
      </c>
      <c r="F20" s="86">
        <v>6</v>
      </c>
      <c r="G20" s="86">
        <v>7</v>
      </c>
      <c r="H20" s="91">
        <v>8</v>
      </c>
      <c r="I20" s="86">
        <v>9</v>
      </c>
      <c r="J20" s="86">
        <v>10</v>
      </c>
      <c r="K20" s="86">
        <v>11</v>
      </c>
      <c r="L20" s="86">
        <v>12</v>
      </c>
      <c r="M20" s="122">
        <v>13</v>
      </c>
      <c r="N20" s="136">
        <v>14</v>
      </c>
      <c r="O20" s="135">
        <v>15</v>
      </c>
      <c r="P20" s="86">
        <v>16</v>
      </c>
      <c r="Q20" s="86">
        <v>17</v>
      </c>
      <c r="R20" s="86">
        <v>18</v>
      </c>
      <c r="S20" s="86">
        <v>19</v>
      </c>
      <c r="T20" s="86">
        <v>20</v>
      </c>
      <c r="U20" s="86">
        <v>21</v>
      </c>
      <c r="V20" s="86">
        <v>22</v>
      </c>
      <c r="W20" s="86">
        <v>23</v>
      </c>
      <c r="X20" s="86">
        <v>24</v>
      </c>
      <c r="Y20" s="90">
        <v>25</v>
      </c>
      <c r="Z20" s="88">
        <v>26</v>
      </c>
      <c r="AA20" s="88">
        <v>27</v>
      </c>
      <c r="AB20" s="88">
        <v>28</v>
      </c>
    </row>
    <row r="21" spans="1:54" s="22" customFormat="1" ht="153.75" customHeight="1" x14ac:dyDescent="0.4">
      <c r="A21" s="15"/>
      <c r="B21" s="89" t="s">
        <v>20</v>
      </c>
      <c r="C21" s="15"/>
      <c r="D21" s="16"/>
      <c r="E21" s="17"/>
      <c r="F21" s="18" t="s">
        <v>21</v>
      </c>
      <c r="G21" s="19" t="s">
        <v>21</v>
      </c>
      <c r="H21" s="20" t="s">
        <v>21</v>
      </c>
      <c r="I21" s="19" t="s">
        <v>21</v>
      </c>
      <c r="J21" s="19" t="s">
        <v>21</v>
      </c>
      <c r="K21" s="19" t="s">
        <v>21</v>
      </c>
      <c r="L21" s="19" t="s">
        <v>21</v>
      </c>
      <c r="M21" s="123" t="s">
        <v>21</v>
      </c>
      <c r="N21" s="20" t="s">
        <v>21</v>
      </c>
      <c r="O21" s="21" t="s">
        <v>21</v>
      </c>
      <c r="P21" s="19" t="s">
        <v>21</v>
      </c>
      <c r="Q21" s="209" t="s">
        <v>21</v>
      </c>
      <c r="R21" s="209" t="s">
        <v>21</v>
      </c>
      <c r="S21" s="209" t="s">
        <v>21</v>
      </c>
      <c r="T21" s="209" t="s">
        <v>21</v>
      </c>
      <c r="U21" s="209" t="s">
        <v>21</v>
      </c>
      <c r="V21" s="209" t="s">
        <v>21</v>
      </c>
      <c r="W21" s="209" t="s">
        <v>21</v>
      </c>
      <c r="X21" s="209" t="s">
        <v>21</v>
      </c>
      <c r="Y21" s="209" t="s">
        <v>21</v>
      </c>
      <c r="Z21" s="202" t="s">
        <v>21</v>
      </c>
      <c r="AA21" s="202" t="s">
        <v>21</v>
      </c>
      <c r="AB21" s="202" t="s">
        <v>21</v>
      </c>
      <c r="AC21" s="258"/>
      <c r="AD21" s="258"/>
      <c r="AE21" s="258"/>
      <c r="AF21" s="258"/>
      <c r="AG21" s="258"/>
      <c r="AH21" s="258"/>
      <c r="AI21" s="260"/>
      <c r="AJ21" s="260"/>
      <c r="AK21" s="260"/>
      <c r="AL21" s="260"/>
      <c r="AM21" s="260"/>
      <c r="AN21" s="260"/>
      <c r="AO21" s="260"/>
      <c r="AP21" s="260"/>
      <c r="AQ21" s="258"/>
      <c r="AR21" s="258"/>
      <c r="AS21" s="258"/>
      <c r="AT21" s="258"/>
      <c r="AU21" s="258"/>
      <c r="AV21" s="258"/>
      <c r="AW21" s="258"/>
      <c r="AX21" s="258"/>
      <c r="AY21" s="260"/>
      <c r="AZ21" s="260"/>
      <c r="BA21" s="247"/>
      <c r="BB21" s="247"/>
    </row>
    <row r="22" spans="1:54" s="22" customFormat="1" ht="375" customHeight="1" x14ac:dyDescent="0.4">
      <c r="A22" s="23"/>
      <c r="B22" s="89" t="s">
        <v>22</v>
      </c>
      <c r="C22" s="23"/>
      <c r="D22" s="16"/>
      <c r="F22" s="18" t="s">
        <v>21</v>
      </c>
      <c r="G22" s="19" t="s">
        <v>21</v>
      </c>
      <c r="H22" s="20" t="s">
        <v>21</v>
      </c>
      <c r="I22" s="19" t="s">
        <v>21</v>
      </c>
      <c r="J22" s="19" t="s">
        <v>21</v>
      </c>
      <c r="K22" s="19" t="s">
        <v>21</v>
      </c>
      <c r="L22" s="19" t="s">
        <v>21</v>
      </c>
      <c r="M22" s="123" t="s">
        <v>21</v>
      </c>
      <c r="N22" s="20" t="s">
        <v>21</v>
      </c>
      <c r="O22" s="21" t="s">
        <v>21</v>
      </c>
      <c r="P22" s="19" t="s">
        <v>21</v>
      </c>
      <c r="Q22" s="209"/>
      <c r="R22" s="209"/>
      <c r="S22" s="209"/>
      <c r="T22" s="209"/>
      <c r="U22" s="209"/>
      <c r="V22" s="209"/>
      <c r="W22" s="209"/>
      <c r="X22" s="209"/>
      <c r="Y22" s="209"/>
      <c r="Z22" s="259"/>
      <c r="AA22" s="259"/>
      <c r="AB22" s="259"/>
      <c r="AC22" s="258"/>
      <c r="AD22" s="258"/>
      <c r="AE22" s="258"/>
      <c r="AF22" s="258"/>
      <c r="AG22" s="258"/>
      <c r="AH22" s="258"/>
      <c r="AI22" s="260"/>
      <c r="AJ22" s="260"/>
      <c r="AK22" s="260"/>
      <c r="AL22" s="260"/>
      <c r="AM22" s="260"/>
      <c r="AN22" s="260"/>
      <c r="AO22" s="260"/>
      <c r="AP22" s="260"/>
      <c r="AQ22" s="258"/>
      <c r="AR22" s="258"/>
      <c r="AS22" s="258"/>
      <c r="AT22" s="258"/>
      <c r="AU22" s="258"/>
      <c r="AV22" s="258"/>
      <c r="AW22" s="258"/>
      <c r="AX22" s="258"/>
      <c r="AY22" s="260"/>
      <c r="AZ22" s="260"/>
      <c r="BA22" s="247"/>
      <c r="BB22" s="247"/>
    </row>
    <row r="23" spans="1:54" s="22" customFormat="1" ht="397.5" customHeight="1" x14ac:dyDescent="0.4">
      <c r="A23" s="16"/>
      <c r="B23" s="89" t="s">
        <v>23</v>
      </c>
      <c r="C23" s="24">
        <v>2019</v>
      </c>
      <c r="D23" s="24">
        <v>2027</v>
      </c>
      <c r="E23" s="25" t="s">
        <v>24</v>
      </c>
      <c r="F23" s="89" t="s">
        <v>21</v>
      </c>
      <c r="G23" s="21" t="s">
        <v>21</v>
      </c>
      <c r="H23" s="26" t="s">
        <v>21</v>
      </c>
      <c r="I23" s="21" t="s">
        <v>21</v>
      </c>
      <c r="J23" s="21" t="s">
        <v>21</v>
      </c>
      <c r="K23" s="21" t="s">
        <v>21</v>
      </c>
      <c r="L23" s="21" t="s">
        <v>21</v>
      </c>
      <c r="M23" s="124" t="s">
        <v>21</v>
      </c>
      <c r="N23" s="26" t="s">
        <v>21</v>
      </c>
      <c r="O23" s="21" t="s">
        <v>21</v>
      </c>
      <c r="P23" s="21" t="s">
        <v>21</v>
      </c>
      <c r="Q23" s="89" t="s">
        <v>21</v>
      </c>
      <c r="R23" s="89" t="s">
        <v>21</v>
      </c>
      <c r="S23" s="89" t="s">
        <v>21</v>
      </c>
      <c r="T23" s="89" t="s">
        <v>21</v>
      </c>
      <c r="U23" s="89" t="s">
        <v>21</v>
      </c>
      <c r="V23" s="89" t="s">
        <v>21</v>
      </c>
      <c r="W23" s="89" t="s">
        <v>21</v>
      </c>
      <c r="X23" s="89" t="s">
        <v>21</v>
      </c>
      <c r="Y23" s="89" t="s">
        <v>21</v>
      </c>
      <c r="Z23" s="97" t="s">
        <v>21</v>
      </c>
      <c r="AA23" s="97" t="s">
        <v>21</v>
      </c>
      <c r="AB23" s="97" t="s">
        <v>21</v>
      </c>
      <c r="AC23" s="92"/>
      <c r="AD23" s="92"/>
      <c r="AE23" s="92"/>
      <c r="AF23" s="92"/>
      <c r="AG23" s="92"/>
      <c r="AH23" s="92"/>
      <c r="AI23" s="93"/>
      <c r="AJ23" s="93"/>
      <c r="AK23" s="93"/>
      <c r="AL23" s="93"/>
      <c r="AM23" s="93"/>
      <c r="AN23" s="93"/>
      <c r="AO23" s="93"/>
      <c r="AP23" s="93"/>
      <c r="AQ23" s="92"/>
      <c r="AR23" s="92"/>
      <c r="AS23" s="92"/>
      <c r="AT23" s="92"/>
      <c r="AU23" s="92"/>
      <c r="AV23" s="92"/>
      <c r="AW23" s="92"/>
      <c r="AX23" s="92"/>
      <c r="AY23" s="93"/>
      <c r="AZ23" s="93"/>
      <c r="BA23" s="94"/>
      <c r="BB23" s="94"/>
    </row>
    <row r="24" spans="1:54" s="22" customFormat="1" ht="174" customHeight="1" x14ac:dyDescent="0.4">
      <c r="A24" s="208"/>
      <c r="B24" s="261" t="s">
        <v>25</v>
      </c>
      <c r="C24" s="208"/>
      <c r="D24" s="208"/>
      <c r="E24" s="208"/>
      <c r="F24" s="89" t="s">
        <v>26</v>
      </c>
      <c r="G24" s="27">
        <f t="shared" ref="G24:M24" si="0">G25+G26</f>
        <v>388758801.42999995</v>
      </c>
      <c r="H24" s="27">
        <f t="shared" si="0"/>
        <v>39119201.659999996</v>
      </c>
      <c r="I24" s="27">
        <f t="shared" si="0"/>
        <v>40609612.960000001</v>
      </c>
      <c r="J24" s="27">
        <f t="shared" si="0"/>
        <v>44788942.629999995</v>
      </c>
      <c r="K24" s="27">
        <f t="shared" si="0"/>
        <v>46829709.590000004</v>
      </c>
      <c r="L24" s="27">
        <f t="shared" si="0"/>
        <v>51324110.759999998</v>
      </c>
      <c r="M24" s="125">
        <f t="shared" si="0"/>
        <v>65123053.659999996</v>
      </c>
      <c r="N24" s="28">
        <f>N25+N26</f>
        <v>100964170.17</v>
      </c>
      <c r="O24" s="27">
        <f t="shared" ref="O24:P24" si="1">O25+O26</f>
        <v>66947075.539999999</v>
      </c>
      <c r="P24" s="27">
        <f t="shared" si="1"/>
        <v>55734800.600000001</v>
      </c>
      <c r="Q24" s="209" t="s">
        <v>27</v>
      </c>
      <c r="R24" s="209" t="s">
        <v>28</v>
      </c>
      <c r="S24" s="209" t="s">
        <v>29</v>
      </c>
      <c r="T24" s="209" t="s">
        <v>28</v>
      </c>
      <c r="U24" s="209" t="s">
        <v>30</v>
      </c>
      <c r="V24" s="209" t="s">
        <v>27</v>
      </c>
      <c r="W24" s="209" t="s">
        <v>31</v>
      </c>
      <c r="X24" s="209" t="s">
        <v>28</v>
      </c>
      <c r="Y24" s="209" t="s">
        <v>30</v>
      </c>
      <c r="Z24" s="259" t="s">
        <v>27</v>
      </c>
      <c r="AA24" s="259" t="s">
        <v>27</v>
      </c>
      <c r="AB24" s="259" t="s">
        <v>27</v>
      </c>
      <c r="AC24" s="92"/>
      <c r="AD24" s="92"/>
      <c r="AE24" s="92"/>
      <c r="AF24" s="92"/>
      <c r="AG24" s="92"/>
      <c r="AH24" s="92"/>
      <c r="AI24" s="93"/>
      <c r="AJ24" s="93"/>
      <c r="AK24" s="93"/>
      <c r="AL24" s="93"/>
      <c r="AM24" s="93"/>
      <c r="AN24" s="93"/>
      <c r="AO24" s="93"/>
      <c r="AP24" s="93"/>
      <c r="AQ24" s="92"/>
      <c r="AR24" s="92"/>
      <c r="AS24" s="92"/>
      <c r="AT24" s="92"/>
      <c r="AU24" s="92"/>
      <c r="AV24" s="92"/>
      <c r="AW24" s="92"/>
      <c r="AX24" s="92"/>
      <c r="AY24" s="93"/>
      <c r="AZ24" s="93"/>
      <c r="BA24" s="94"/>
      <c r="BB24" s="94"/>
    </row>
    <row r="25" spans="1:54" s="22" customFormat="1" ht="235.5" customHeight="1" x14ac:dyDescent="0.4">
      <c r="A25" s="208"/>
      <c r="B25" s="261"/>
      <c r="C25" s="208"/>
      <c r="D25" s="208"/>
      <c r="E25" s="208"/>
      <c r="F25" s="89" t="s">
        <v>32</v>
      </c>
      <c r="G25" s="27">
        <f>H25+I25+J25+K25+L25+M25+N25</f>
        <v>302420278.38999999</v>
      </c>
      <c r="H25" s="27">
        <f t="shared" ref="H25:P26" si="2">H28</f>
        <v>32814367.66</v>
      </c>
      <c r="I25" s="27">
        <f t="shared" si="2"/>
        <v>33366672.399999999</v>
      </c>
      <c r="J25" s="27">
        <f t="shared" si="2"/>
        <v>31978381.639999993</v>
      </c>
      <c r="K25" s="27">
        <f t="shared" si="2"/>
        <v>33828772.090000004</v>
      </c>
      <c r="L25" s="27">
        <f t="shared" si="2"/>
        <v>35333484.979999997</v>
      </c>
      <c r="M25" s="125">
        <f t="shared" si="2"/>
        <v>52940483.499999993</v>
      </c>
      <c r="N25" s="28">
        <f t="shared" si="2"/>
        <v>82158116.120000005</v>
      </c>
      <c r="O25" s="27">
        <f t="shared" si="2"/>
        <v>57568991.539999999</v>
      </c>
      <c r="P25" s="27">
        <f t="shared" si="2"/>
        <v>55734800.600000001</v>
      </c>
      <c r="Q25" s="209"/>
      <c r="R25" s="209"/>
      <c r="S25" s="209"/>
      <c r="T25" s="209"/>
      <c r="U25" s="209"/>
      <c r="V25" s="209"/>
      <c r="W25" s="209"/>
      <c r="X25" s="209"/>
      <c r="Y25" s="209"/>
      <c r="Z25" s="259"/>
      <c r="AA25" s="259"/>
      <c r="AB25" s="259"/>
      <c r="AC25" s="92"/>
      <c r="AD25" s="92"/>
      <c r="AE25" s="92"/>
      <c r="AF25" s="92"/>
      <c r="AG25" s="92"/>
      <c r="AH25" s="92"/>
      <c r="AI25" s="93"/>
      <c r="AJ25" s="93"/>
      <c r="AK25" s="93"/>
      <c r="AL25" s="93"/>
      <c r="AM25" s="93"/>
      <c r="AN25" s="93"/>
      <c r="AO25" s="93"/>
      <c r="AP25" s="93"/>
      <c r="AQ25" s="92"/>
      <c r="AR25" s="92"/>
      <c r="AS25" s="92"/>
      <c r="AT25" s="92"/>
      <c r="AU25" s="92"/>
      <c r="AV25" s="92"/>
      <c r="AW25" s="92"/>
      <c r="AX25" s="92"/>
      <c r="AY25" s="93"/>
      <c r="AZ25" s="93"/>
      <c r="BA25" s="94"/>
      <c r="BB25" s="94"/>
    </row>
    <row r="26" spans="1:54" s="22" customFormat="1" ht="174" customHeight="1" x14ac:dyDescent="0.4">
      <c r="A26" s="208"/>
      <c r="B26" s="261"/>
      <c r="C26" s="208"/>
      <c r="D26" s="208"/>
      <c r="E26" s="208"/>
      <c r="F26" s="89" t="s">
        <v>33</v>
      </c>
      <c r="G26" s="27">
        <f>H26+I26+J26+K26+L26+M26+N26</f>
        <v>86338523.039999992</v>
      </c>
      <c r="H26" s="27">
        <f t="shared" si="2"/>
        <v>6304834</v>
      </c>
      <c r="I26" s="27">
        <f t="shared" si="2"/>
        <v>7242940.5599999996</v>
      </c>
      <c r="J26" s="27">
        <f t="shared" si="2"/>
        <v>12810560.990000002</v>
      </c>
      <c r="K26" s="27">
        <f t="shared" si="2"/>
        <v>13000937.5</v>
      </c>
      <c r="L26" s="27">
        <f t="shared" si="2"/>
        <v>15990625.780000001</v>
      </c>
      <c r="M26" s="125">
        <f t="shared" si="2"/>
        <v>12182570.16</v>
      </c>
      <c r="N26" s="28">
        <f t="shared" si="2"/>
        <v>18806054.050000001</v>
      </c>
      <c r="O26" s="27">
        <f t="shared" si="2"/>
        <v>9378084</v>
      </c>
      <c r="P26" s="27" t="str">
        <f>P29</f>
        <v>0,00</v>
      </c>
      <c r="Q26" s="209"/>
      <c r="R26" s="209"/>
      <c r="S26" s="209"/>
      <c r="T26" s="209"/>
      <c r="U26" s="209"/>
      <c r="V26" s="209"/>
      <c r="W26" s="209"/>
      <c r="X26" s="209"/>
      <c r="Y26" s="209"/>
      <c r="Z26" s="259"/>
      <c r="AA26" s="259"/>
      <c r="AB26" s="259"/>
      <c r="AC26" s="92"/>
      <c r="AD26" s="92"/>
      <c r="AE26" s="92"/>
      <c r="AF26" s="92"/>
      <c r="AG26" s="92"/>
      <c r="AH26" s="92"/>
      <c r="AI26" s="93"/>
      <c r="AJ26" s="93"/>
      <c r="AK26" s="93"/>
      <c r="AL26" s="93"/>
      <c r="AM26" s="93"/>
      <c r="AN26" s="93"/>
      <c r="AO26" s="93"/>
      <c r="AP26" s="93"/>
      <c r="AQ26" s="92"/>
      <c r="AR26" s="92"/>
      <c r="AS26" s="92"/>
      <c r="AT26" s="92"/>
      <c r="AU26" s="92"/>
      <c r="AV26" s="92"/>
      <c r="AW26" s="92"/>
      <c r="AX26" s="92"/>
      <c r="AY26" s="93"/>
      <c r="AZ26" s="93"/>
      <c r="BA26" s="94"/>
      <c r="BB26" s="94"/>
    </row>
    <row r="27" spans="1:54" s="22" customFormat="1" ht="174" customHeight="1" x14ac:dyDescent="0.4">
      <c r="A27" s="208"/>
      <c r="B27" s="209" t="s">
        <v>34</v>
      </c>
      <c r="C27" s="208"/>
      <c r="D27" s="208"/>
      <c r="E27" s="208"/>
      <c r="F27" s="89" t="s">
        <v>26</v>
      </c>
      <c r="G27" s="27">
        <f t="shared" ref="G27:P27" si="3">G28+G29</f>
        <v>388758801.42999995</v>
      </c>
      <c r="H27" s="27">
        <f t="shared" si="3"/>
        <v>39119201.659999996</v>
      </c>
      <c r="I27" s="27">
        <f t="shared" si="3"/>
        <v>40609612.960000001</v>
      </c>
      <c r="J27" s="27">
        <f t="shared" si="3"/>
        <v>44788942.629999995</v>
      </c>
      <c r="K27" s="27">
        <f t="shared" si="3"/>
        <v>46829709.590000004</v>
      </c>
      <c r="L27" s="27">
        <f t="shared" si="3"/>
        <v>51324110.759999998</v>
      </c>
      <c r="M27" s="125">
        <f t="shared" si="3"/>
        <v>65123053.659999996</v>
      </c>
      <c r="N27" s="28">
        <f t="shared" si="3"/>
        <v>100964170.17</v>
      </c>
      <c r="O27" s="27">
        <f t="shared" si="3"/>
        <v>66947075.539999999</v>
      </c>
      <c r="P27" s="27">
        <f t="shared" si="3"/>
        <v>55734800.600000001</v>
      </c>
      <c r="Q27" s="209" t="s">
        <v>27</v>
      </c>
      <c r="R27" s="209" t="s">
        <v>28</v>
      </c>
      <c r="S27" s="209" t="s">
        <v>29</v>
      </c>
      <c r="T27" s="209" t="s">
        <v>28</v>
      </c>
      <c r="U27" s="209" t="s">
        <v>30</v>
      </c>
      <c r="V27" s="209" t="s">
        <v>27</v>
      </c>
      <c r="W27" s="209" t="s">
        <v>31</v>
      </c>
      <c r="X27" s="209" t="s">
        <v>28</v>
      </c>
      <c r="Y27" s="209" t="s">
        <v>30</v>
      </c>
      <c r="Z27" s="259" t="s">
        <v>27</v>
      </c>
      <c r="AA27" s="259" t="s">
        <v>27</v>
      </c>
      <c r="AB27" s="259" t="s">
        <v>27</v>
      </c>
      <c r="AC27" s="92"/>
      <c r="AD27" s="92"/>
      <c r="AE27" s="92"/>
      <c r="AF27" s="92"/>
      <c r="AG27" s="92"/>
      <c r="AH27" s="92"/>
      <c r="AI27" s="93"/>
      <c r="AJ27" s="93"/>
      <c r="AK27" s="93"/>
      <c r="AL27" s="93"/>
      <c r="AM27" s="93"/>
      <c r="AN27" s="93"/>
      <c r="AO27" s="93"/>
      <c r="AP27" s="93"/>
      <c r="AQ27" s="92"/>
      <c r="AR27" s="92"/>
      <c r="AS27" s="92"/>
      <c r="AT27" s="92"/>
      <c r="AU27" s="92"/>
      <c r="AV27" s="92"/>
      <c r="AW27" s="92"/>
      <c r="AX27" s="92"/>
      <c r="AY27" s="93"/>
      <c r="AZ27" s="93"/>
      <c r="BA27" s="94"/>
      <c r="BB27" s="94"/>
    </row>
    <row r="28" spans="1:54" s="22" customFormat="1" ht="240" customHeight="1" x14ac:dyDescent="0.4">
      <c r="A28" s="208"/>
      <c r="B28" s="209"/>
      <c r="C28" s="208"/>
      <c r="D28" s="208"/>
      <c r="E28" s="208"/>
      <c r="F28" s="89" t="s">
        <v>32</v>
      </c>
      <c r="G28" s="27">
        <f>H28+I28+J28+K28+L28+M28+N28</f>
        <v>302420278.38999999</v>
      </c>
      <c r="H28" s="28">
        <v>32814367.66</v>
      </c>
      <c r="I28" s="27">
        <f>33366672.4</f>
        <v>33366672.399999999</v>
      </c>
      <c r="J28" s="27">
        <f>38689253.27-5482123.78+249764.49-2447.76-3376-9467+421559.29+127310.91+517.81-517.81+571370.22-12843+200000-2788790.45+50788.11-129800-2988-28500+2433-33792.21-413070.22-108000-31528-48626.27-90740+373070.22-0.5+108000+31528+48626.77+4673.53-135612+103189.2+330000-71254.31+621+59153.13</f>
        <v>31978381.639999993</v>
      </c>
      <c r="K28" s="27">
        <f>37865085.68-2500872.3-755263.41-10874.1-30000-86528.19-22357-216506.5+1868731.93-77157-50000-1469756.78+1028405.65-1714135.89</f>
        <v>33828772.090000004</v>
      </c>
      <c r="L28" s="27">
        <f>45116085.23-335000+1345292.61-8665000-1108943.28+433034.5+83114.15+534409.9+96000+60000+16820+49600+88364.84-9484+226984-646831.42-1950961.55</f>
        <v>35333484.979999997</v>
      </c>
      <c r="M28" s="125">
        <f>67072780.79-12182570.16-1949727.13</f>
        <v>52940483.499999993</v>
      </c>
      <c r="N28" s="28">
        <f>91080727.45-9427970.05+505358.72</f>
        <v>82158116.120000005</v>
      </c>
      <c r="O28" s="27">
        <v>57568991.539999999</v>
      </c>
      <c r="P28" s="27">
        <v>55734800.600000001</v>
      </c>
      <c r="Q28" s="209"/>
      <c r="R28" s="209"/>
      <c r="S28" s="209"/>
      <c r="T28" s="209"/>
      <c r="U28" s="209"/>
      <c r="V28" s="209"/>
      <c r="W28" s="209"/>
      <c r="X28" s="209"/>
      <c r="Y28" s="209"/>
      <c r="Z28" s="259"/>
      <c r="AA28" s="259"/>
      <c r="AB28" s="259"/>
      <c r="AC28" s="92"/>
      <c r="AD28" s="92"/>
      <c r="AE28" s="92"/>
      <c r="AF28" s="92"/>
      <c r="AG28" s="92"/>
      <c r="AH28" s="92"/>
      <c r="AI28" s="93"/>
      <c r="AJ28" s="93"/>
      <c r="AK28" s="93"/>
      <c r="AL28" s="93"/>
      <c r="AM28" s="93"/>
      <c r="AN28" s="93"/>
      <c r="AO28" s="93"/>
      <c r="AP28" s="93"/>
      <c r="AQ28" s="92"/>
      <c r="AR28" s="92"/>
      <c r="AS28" s="92"/>
      <c r="AT28" s="92"/>
      <c r="AU28" s="92"/>
      <c r="AV28" s="92"/>
      <c r="AW28" s="92"/>
      <c r="AX28" s="92"/>
      <c r="AY28" s="93"/>
      <c r="AZ28" s="93"/>
      <c r="BA28" s="94"/>
      <c r="BB28" s="94"/>
    </row>
    <row r="29" spans="1:54" s="22" customFormat="1" ht="174" customHeight="1" x14ac:dyDescent="0.4">
      <c r="A29" s="208"/>
      <c r="B29" s="209"/>
      <c r="C29" s="208"/>
      <c r="D29" s="208"/>
      <c r="E29" s="208"/>
      <c r="F29" s="89" t="s">
        <v>33</v>
      </c>
      <c r="G29" s="27">
        <f>H29+I29+J29+K29+L29+M29+N29</f>
        <v>86338523.039999992</v>
      </c>
      <c r="H29" s="28">
        <v>6304834</v>
      </c>
      <c r="I29" s="27">
        <f>354656.72+6888283.84</f>
        <v>7242940.5599999996</v>
      </c>
      <c r="J29" s="27">
        <f>5482123.78+7264215+33792.21+30430</f>
        <v>12810560.990000002</v>
      </c>
      <c r="K29" s="27">
        <f>2500872.3+755263.41+10874.1+30000+86528.19+22357+216506.5+6621357+2757179</f>
        <v>13000937.5</v>
      </c>
      <c r="L29" s="27">
        <f>6612541.78+9378084</f>
        <v>15990625.780000001</v>
      </c>
      <c r="M29" s="125">
        <f>2804486.16+9378084</f>
        <v>12182570.16</v>
      </c>
      <c r="N29" s="28">
        <f>9427970.05+9378084</f>
        <v>18806054.050000001</v>
      </c>
      <c r="O29" s="27">
        <f>9378084</f>
        <v>9378084</v>
      </c>
      <c r="P29" s="27" t="s">
        <v>35</v>
      </c>
      <c r="Q29" s="209"/>
      <c r="R29" s="209"/>
      <c r="S29" s="209"/>
      <c r="T29" s="209"/>
      <c r="U29" s="209"/>
      <c r="V29" s="209"/>
      <c r="W29" s="209"/>
      <c r="X29" s="209"/>
      <c r="Y29" s="209"/>
      <c r="Z29" s="259"/>
      <c r="AA29" s="259"/>
      <c r="AB29" s="259"/>
      <c r="AC29" s="92"/>
      <c r="AD29" s="92"/>
      <c r="AE29" s="92"/>
      <c r="AF29" s="92"/>
      <c r="AG29" s="92"/>
      <c r="AH29" s="92"/>
      <c r="AI29" s="93"/>
      <c r="AJ29" s="93"/>
      <c r="AK29" s="93"/>
      <c r="AL29" s="93"/>
      <c r="AM29" s="93"/>
      <c r="AN29" s="93"/>
      <c r="AO29" s="93"/>
      <c r="AP29" s="93"/>
      <c r="AQ29" s="92"/>
      <c r="AR29" s="92"/>
      <c r="AS29" s="92"/>
      <c r="AT29" s="92"/>
      <c r="AU29" s="92"/>
      <c r="AV29" s="92"/>
      <c r="AW29" s="92"/>
      <c r="AX29" s="92"/>
      <c r="AY29" s="93"/>
      <c r="AZ29" s="93"/>
      <c r="BA29" s="94"/>
      <c r="BB29" s="94"/>
    </row>
    <row r="30" spans="1:54" s="22" customFormat="1" ht="203.25" customHeight="1" x14ac:dyDescent="0.4">
      <c r="A30" s="208"/>
      <c r="B30" s="209" t="s">
        <v>36</v>
      </c>
      <c r="C30" s="208"/>
      <c r="D30" s="208"/>
      <c r="E30" s="208"/>
      <c r="F30" s="89" t="s">
        <v>26</v>
      </c>
      <c r="G30" s="27">
        <f t="shared" ref="G30:P30" si="4">G31+G32</f>
        <v>59150258.82</v>
      </c>
      <c r="H30" s="27">
        <f t="shared" si="4"/>
        <v>6399524.7599999998</v>
      </c>
      <c r="I30" s="27">
        <f t="shared" si="4"/>
        <v>7028861.0599999996</v>
      </c>
      <c r="J30" s="27">
        <f t="shared" si="4"/>
        <v>7443516</v>
      </c>
      <c r="K30" s="27">
        <f t="shared" si="4"/>
        <v>9569935</v>
      </c>
      <c r="L30" s="27">
        <f t="shared" si="4"/>
        <v>9569474</v>
      </c>
      <c r="M30" s="125">
        <f t="shared" si="4"/>
        <v>9569474</v>
      </c>
      <c r="N30" s="28">
        <f t="shared" si="4"/>
        <v>9569474</v>
      </c>
      <c r="O30" s="27">
        <f t="shared" si="4"/>
        <v>9569474</v>
      </c>
      <c r="P30" s="27">
        <f t="shared" si="4"/>
        <v>0</v>
      </c>
      <c r="Q30" s="157" t="s">
        <v>37</v>
      </c>
      <c r="R30" s="89"/>
      <c r="S30" s="89"/>
      <c r="T30" s="89"/>
      <c r="U30" s="89"/>
      <c r="V30" s="89"/>
      <c r="W30" s="89"/>
      <c r="X30" s="89"/>
      <c r="Y30" s="89"/>
      <c r="Z30" s="97"/>
      <c r="AA30" s="97"/>
      <c r="AB30" s="97"/>
      <c r="AC30" s="92"/>
      <c r="AD30" s="92"/>
      <c r="AE30" s="92"/>
      <c r="AF30" s="92"/>
      <c r="AG30" s="92"/>
      <c r="AH30" s="92"/>
      <c r="AI30" s="93"/>
      <c r="AJ30" s="93"/>
      <c r="AK30" s="93"/>
      <c r="AL30" s="93"/>
      <c r="AM30" s="93"/>
      <c r="AN30" s="93"/>
      <c r="AO30" s="93"/>
      <c r="AP30" s="93"/>
      <c r="AQ30" s="92"/>
      <c r="AR30" s="92"/>
      <c r="AS30" s="92"/>
      <c r="AT30" s="92"/>
      <c r="AU30" s="92"/>
      <c r="AV30" s="92"/>
      <c r="AW30" s="92"/>
      <c r="AX30" s="92"/>
      <c r="AY30" s="93"/>
      <c r="AZ30" s="93"/>
      <c r="BA30" s="94"/>
      <c r="BB30" s="94"/>
    </row>
    <row r="31" spans="1:54" s="22" customFormat="1" ht="231" customHeight="1" x14ac:dyDescent="0.4">
      <c r="A31" s="208"/>
      <c r="B31" s="209"/>
      <c r="C31" s="208"/>
      <c r="D31" s="208"/>
      <c r="E31" s="208"/>
      <c r="F31" s="89" t="s">
        <v>32</v>
      </c>
      <c r="G31" s="27">
        <f>H31+I31+J31+K31+L31+M31+N31</f>
        <v>1183007.98</v>
      </c>
      <c r="H31" s="28">
        <v>127990.76</v>
      </c>
      <c r="I31" s="27">
        <v>140577.22</v>
      </c>
      <c r="J31" s="27">
        <f>148250+621</f>
        <v>148871</v>
      </c>
      <c r="K31" s="27">
        <f>135130+56269</f>
        <v>191399</v>
      </c>
      <c r="L31" s="27">
        <v>191390</v>
      </c>
      <c r="M31" s="125">
        <v>191390</v>
      </c>
      <c r="N31" s="28">
        <v>191390</v>
      </c>
      <c r="O31" s="27">
        <v>191390</v>
      </c>
      <c r="P31" s="27">
        <v>0</v>
      </c>
      <c r="Q31" s="158"/>
      <c r="R31" s="89" t="s">
        <v>38</v>
      </c>
      <c r="S31" s="89"/>
      <c r="T31" s="89">
        <v>100</v>
      </c>
      <c r="U31" s="89">
        <v>100</v>
      </c>
      <c r="V31" s="89">
        <v>100</v>
      </c>
      <c r="W31" s="89">
        <v>100</v>
      </c>
      <c r="X31" s="89">
        <v>100</v>
      </c>
      <c r="Y31" s="89">
        <v>100</v>
      </c>
      <c r="Z31" s="97">
        <v>100</v>
      </c>
      <c r="AA31" s="97">
        <v>100</v>
      </c>
      <c r="AB31" s="97">
        <v>100</v>
      </c>
      <c r="AC31" s="92"/>
      <c r="AD31" s="92"/>
      <c r="AE31" s="92"/>
      <c r="AF31" s="92"/>
      <c r="AG31" s="92"/>
      <c r="AH31" s="92"/>
      <c r="AI31" s="93"/>
      <c r="AJ31" s="93"/>
      <c r="AK31" s="93"/>
      <c r="AL31" s="93"/>
      <c r="AM31" s="93"/>
      <c r="AN31" s="93"/>
      <c r="AO31" s="93"/>
      <c r="AP31" s="93"/>
      <c r="AQ31" s="92"/>
      <c r="AR31" s="92"/>
      <c r="AS31" s="92"/>
      <c r="AT31" s="92"/>
      <c r="AU31" s="92"/>
      <c r="AV31" s="92"/>
      <c r="AW31" s="92"/>
      <c r="AX31" s="92"/>
      <c r="AY31" s="93"/>
      <c r="AZ31" s="93"/>
      <c r="BA31" s="94"/>
      <c r="BB31" s="94"/>
    </row>
    <row r="32" spans="1:54" s="22" customFormat="1" ht="174" customHeight="1" x14ac:dyDescent="0.4">
      <c r="A32" s="208"/>
      <c r="B32" s="209"/>
      <c r="C32" s="208"/>
      <c r="D32" s="208"/>
      <c r="E32" s="208"/>
      <c r="F32" s="89" t="s">
        <v>33</v>
      </c>
      <c r="G32" s="27">
        <f>H32+I32+J32+K32+L32+M32+N32</f>
        <v>57967250.840000004</v>
      </c>
      <c r="H32" s="28">
        <v>6271534</v>
      </c>
      <c r="I32" s="27">
        <v>6888283.8399999999</v>
      </c>
      <c r="J32" s="27">
        <f>7264215+30430</f>
        <v>7294645</v>
      </c>
      <c r="K32" s="27">
        <f>6621357+2757179</f>
        <v>9378536</v>
      </c>
      <c r="L32" s="27">
        <v>9378084</v>
      </c>
      <c r="M32" s="125">
        <v>9378084</v>
      </c>
      <c r="N32" s="28">
        <v>9378084</v>
      </c>
      <c r="O32" s="27">
        <v>9378084</v>
      </c>
      <c r="P32" s="27" t="s">
        <v>35</v>
      </c>
      <c r="Q32" s="159"/>
      <c r="R32" s="89"/>
      <c r="S32" s="89"/>
      <c r="T32" s="89"/>
      <c r="U32" s="89"/>
      <c r="V32" s="89"/>
      <c r="W32" s="89"/>
      <c r="X32" s="89"/>
      <c r="Y32" s="89"/>
      <c r="Z32" s="97"/>
      <c r="AA32" s="97"/>
      <c r="AB32" s="97"/>
      <c r="AC32" s="92"/>
      <c r="AD32" s="92"/>
      <c r="AE32" s="92"/>
      <c r="AF32" s="92"/>
      <c r="AG32" s="92"/>
      <c r="AH32" s="92"/>
      <c r="AI32" s="93"/>
      <c r="AJ32" s="93"/>
      <c r="AK32" s="93"/>
      <c r="AL32" s="93"/>
      <c r="AM32" s="93"/>
      <c r="AN32" s="93"/>
      <c r="AO32" s="93"/>
      <c r="AP32" s="93"/>
      <c r="AQ32" s="92"/>
      <c r="AR32" s="92"/>
      <c r="AS32" s="92"/>
      <c r="AT32" s="92"/>
      <c r="AU32" s="92"/>
      <c r="AV32" s="92"/>
      <c r="AW32" s="92"/>
      <c r="AX32" s="92"/>
      <c r="AY32" s="93"/>
      <c r="AZ32" s="93"/>
      <c r="BA32" s="94"/>
      <c r="BB32" s="94"/>
    </row>
    <row r="33" spans="1:54" s="22" customFormat="1" ht="213" customHeight="1" x14ac:dyDescent="0.4">
      <c r="A33" s="16"/>
      <c r="B33" s="89" t="s">
        <v>39</v>
      </c>
      <c r="C33" s="89">
        <v>2019</v>
      </c>
      <c r="D33" s="89">
        <v>2027</v>
      </c>
      <c r="E33" s="157" t="s">
        <v>40</v>
      </c>
      <c r="F33" s="89" t="s">
        <v>21</v>
      </c>
      <c r="G33" s="27" t="s">
        <v>21</v>
      </c>
      <c r="H33" s="28" t="s">
        <v>21</v>
      </c>
      <c r="I33" s="27" t="s">
        <v>21</v>
      </c>
      <c r="J33" s="27" t="s">
        <v>21</v>
      </c>
      <c r="K33" s="27" t="s">
        <v>21</v>
      </c>
      <c r="L33" s="27" t="s">
        <v>21</v>
      </c>
      <c r="M33" s="125" t="s">
        <v>21</v>
      </c>
      <c r="N33" s="28" t="s">
        <v>21</v>
      </c>
      <c r="O33" s="27" t="s">
        <v>21</v>
      </c>
      <c r="P33" s="27" t="s">
        <v>21</v>
      </c>
      <c r="Q33" s="89" t="s">
        <v>21</v>
      </c>
      <c r="R33" s="89" t="s">
        <v>21</v>
      </c>
      <c r="S33" s="89" t="s">
        <v>21</v>
      </c>
      <c r="T33" s="89" t="s">
        <v>21</v>
      </c>
      <c r="U33" s="89" t="s">
        <v>21</v>
      </c>
      <c r="V33" s="89" t="s">
        <v>21</v>
      </c>
      <c r="W33" s="89" t="s">
        <v>21</v>
      </c>
      <c r="X33" s="89" t="s">
        <v>21</v>
      </c>
      <c r="Y33" s="89" t="s">
        <v>21</v>
      </c>
      <c r="Z33" s="97" t="s">
        <v>21</v>
      </c>
      <c r="AA33" s="97" t="s">
        <v>21</v>
      </c>
      <c r="AB33" s="97" t="s">
        <v>21</v>
      </c>
      <c r="AC33" s="246"/>
      <c r="AD33" s="246"/>
      <c r="AE33" s="246"/>
      <c r="AF33" s="246"/>
      <c r="AG33" s="246"/>
      <c r="AH33" s="246"/>
      <c r="AI33" s="246"/>
      <c r="AJ33" s="246"/>
      <c r="AK33" s="246"/>
      <c r="AL33" s="246"/>
      <c r="AM33" s="246"/>
      <c r="AN33" s="246"/>
      <c r="AO33" s="246"/>
      <c r="AP33" s="246"/>
      <c r="AQ33" s="255"/>
      <c r="AR33" s="255"/>
      <c r="AS33" s="246"/>
      <c r="AT33" s="246"/>
      <c r="AU33" s="246"/>
      <c r="AV33" s="246"/>
      <c r="AW33" s="246"/>
      <c r="AX33" s="246"/>
      <c r="AY33" s="246"/>
      <c r="AZ33" s="246"/>
      <c r="BA33" s="247"/>
      <c r="BB33" s="247"/>
    </row>
    <row r="34" spans="1:54" s="22" customFormat="1" ht="174" customHeight="1" x14ac:dyDescent="0.4">
      <c r="A34" s="248"/>
      <c r="B34" s="249" t="s">
        <v>41</v>
      </c>
      <c r="C34" s="252"/>
      <c r="D34" s="252"/>
      <c r="E34" s="158"/>
      <c r="F34" s="252" t="s">
        <v>26</v>
      </c>
      <c r="G34" s="231">
        <f t="shared" ref="G34:P34" si="5">G36+G37</f>
        <v>126237583.55999999</v>
      </c>
      <c r="H34" s="231">
        <f t="shared" si="5"/>
        <v>13597583.66</v>
      </c>
      <c r="I34" s="231">
        <f t="shared" si="5"/>
        <v>13557021.48</v>
      </c>
      <c r="J34" s="231">
        <f t="shared" si="5"/>
        <v>16390391.770000001</v>
      </c>
      <c r="K34" s="231">
        <f t="shared" si="5"/>
        <v>23713384.32</v>
      </c>
      <c r="L34" s="231">
        <f t="shared" si="5"/>
        <v>17146899.740000002</v>
      </c>
      <c r="M34" s="233">
        <f t="shared" si="5"/>
        <v>19613350.009999998</v>
      </c>
      <c r="N34" s="231">
        <f t="shared" si="5"/>
        <v>22218952.579999998</v>
      </c>
      <c r="O34" s="231">
        <f t="shared" si="5"/>
        <v>24234716.399999999</v>
      </c>
      <c r="P34" s="231">
        <f t="shared" si="5"/>
        <v>13535733.4</v>
      </c>
      <c r="Q34" s="157" t="s">
        <v>42</v>
      </c>
      <c r="R34" s="157" t="s">
        <v>38</v>
      </c>
      <c r="S34" s="157" t="s">
        <v>43</v>
      </c>
      <c r="T34" s="157">
        <v>0.1</v>
      </c>
      <c r="U34" s="157">
        <v>0.1</v>
      </c>
      <c r="V34" s="157">
        <v>0.1</v>
      </c>
      <c r="W34" s="157">
        <v>0.1</v>
      </c>
      <c r="X34" s="157">
        <v>0.1</v>
      </c>
      <c r="Y34" s="157">
        <v>0.1</v>
      </c>
      <c r="Z34" s="201">
        <v>0.1</v>
      </c>
      <c r="AA34" s="256">
        <v>0.1</v>
      </c>
      <c r="AB34" s="201">
        <v>0.1</v>
      </c>
      <c r="AC34" s="94"/>
      <c r="AD34" s="94"/>
      <c r="AE34" s="94"/>
      <c r="AF34" s="94"/>
      <c r="AG34" s="94"/>
      <c r="AH34" s="94"/>
      <c r="AI34" s="94"/>
      <c r="AJ34" s="94"/>
      <c r="AK34" s="94"/>
      <c r="AL34" s="94"/>
      <c r="AM34" s="94"/>
      <c r="AN34" s="94"/>
      <c r="AO34" s="94"/>
      <c r="AP34" s="94"/>
      <c r="AQ34" s="94"/>
      <c r="AR34" s="94"/>
      <c r="AS34" s="94"/>
      <c r="AT34" s="94"/>
      <c r="AU34" s="94"/>
      <c r="AV34" s="94"/>
      <c r="AW34" s="94"/>
      <c r="AX34" s="94"/>
      <c r="AY34" s="94"/>
      <c r="AZ34" s="94"/>
      <c r="BA34" s="94"/>
      <c r="BB34" s="94"/>
    </row>
    <row r="35" spans="1:54" s="22" customFormat="1" ht="174" customHeight="1" x14ac:dyDescent="0.4">
      <c r="A35" s="248"/>
      <c r="B35" s="250"/>
      <c r="C35" s="253"/>
      <c r="D35" s="253"/>
      <c r="E35" s="158"/>
      <c r="F35" s="254"/>
      <c r="G35" s="219"/>
      <c r="H35" s="219"/>
      <c r="I35" s="219"/>
      <c r="J35" s="219"/>
      <c r="K35" s="219"/>
      <c r="L35" s="219"/>
      <c r="M35" s="217"/>
      <c r="N35" s="219"/>
      <c r="O35" s="219"/>
      <c r="P35" s="219"/>
      <c r="Q35" s="158"/>
      <c r="R35" s="158"/>
      <c r="S35" s="158"/>
      <c r="T35" s="158"/>
      <c r="U35" s="158"/>
      <c r="V35" s="158"/>
      <c r="W35" s="158"/>
      <c r="X35" s="158"/>
      <c r="Y35" s="158"/>
      <c r="Z35" s="205"/>
      <c r="AA35" s="257"/>
      <c r="AB35" s="205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</row>
    <row r="36" spans="1:54" s="22" customFormat="1" ht="229.5" customHeight="1" x14ac:dyDescent="0.4">
      <c r="A36" s="248"/>
      <c r="B36" s="250"/>
      <c r="C36" s="253"/>
      <c r="D36" s="253"/>
      <c r="E36" s="158"/>
      <c r="F36" s="101" t="s">
        <v>32</v>
      </c>
      <c r="G36" s="28">
        <f>SUM(H36:N36)</f>
        <v>84629991.039999992</v>
      </c>
      <c r="H36" s="28">
        <f t="shared" ref="H36:P37" si="6">H40+H44+H51+H55+H58+H61+H67+H73</f>
        <v>10950356.439999999</v>
      </c>
      <c r="I36" s="28">
        <f t="shared" si="6"/>
        <v>10810602.120000001</v>
      </c>
      <c r="J36" s="28">
        <f t="shared" si="6"/>
        <v>13002568.960000001</v>
      </c>
      <c r="K36" s="28">
        <f t="shared" si="6"/>
        <v>17337211.59</v>
      </c>
      <c r="L36" s="28">
        <f t="shared" si="6"/>
        <v>10429851.08</v>
      </c>
      <c r="M36" s="125">
        <f t="shared" si="6"/>
        <v>10627684.109999999</v>
      </c>
      <c r="N36" s="28">
        <f t="shared" si="6"/>
        <v>11471716.74</v>
      </c>
      <c r="O36" s="28">
        <f t="shared" si="6"/>
        <v>13771313.4</v>
      </c>
      <c r="P36" s="28">
        <f t="shared" si="6"/>
        <v>13535733.4</v>
      </c>
      <c r="Q36" s="158"/>
      <c r="R36" s="158"/>
      <c r="S36" s="158"/>
      <c r="T36" s="158"/>
      <c r="U36" s="158"/>
      <c r="V36" s="158"/>
      <c r="W36" s="158"/>
      <c r="X36" s="158"/>
      <c r="Y36" s="158"/>
      <c r="Z36" s="205"/>
      <c r="AA36" s="257"/>
      <c r="AB36" s="205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</row>
    <row r="37" spans="1:54" s="22" customFormat="1" ht="174" customHeight="1" x14ac:dyDescent="0.4">
      <c r="A37" s="248"/>
      <c r="B37" s="251"/>
      <c r="C37" s="254"/>
      <c r="D37" s="254"/>
      <c r="E37" s="159"/>
      <c r="F37" s="101" t="s">
        <v>33</v>
      </c>
      <c r="G37" s="28">
        <f>SUM(H37:N37)</f>
        <v>41607592.519999996</v>
      </c>
      <c r="H37" s="28">
        <f t="shared" si="6"/>
        <v>2647227.2199999997</v>
      </c>
      <c r="I37" s="28">
        <f t="shared" si="6"/>
        <v>2746419.36</v>
      </c>
      <c r="J37" s="28">
        <f t="shared" si="6"/>
        <v>3387822.81</v>
      </c>
      <c r="K37" s="28">
        <f t="shared" si="6"/>
        <v>6376172.7299999995</v>
      </c>
      <c r="L37" s="28">
        <f t="shared" si="6"/>
        <v>6717048.6600000001</v>
      </c>
      <c r="M37" s="125">
        <f t="shared" si="6"/>
        <v>8985665.9000000004</v>
      </c>
      <c r="N37" s="28">
        <f t="shared" si="6"/>
        <v>10747235.84</v>
      </c>
      <c r="O37" s="28">
        <f t="shared" si="6"/>
        <v>10463403</v>
      </c>
      <c r="P37" s="28">
        <f t="shared" si="6"/>
        <v>0</v>
      </c>
      <c r="Q37" s="159"/>
      <c r="R37" s="159"/>
      <c r="S37" s="159"/>
      <c r="T37" s="159"/>
      <c r="U37" s="159"/>
      <c r="V37" s="159"/>
      <c r="W37" s="159"/>
      <c r="X37" s="159"/>
      <c r="Y37" s="159"/>
      <c r="Z37" s="202"/>
      <c r="AA37" s="227"/>
      <c r="AB37" s="202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</row>
    <row r="38" spans="1:54" s="22" customFormat="1" ht="127.5" customHeight="1" x14ac:dyDescent="0.4">
      <c r="A38" s="208"/>
      <c r="B38" s="157" t="s">
        <v>44</v>
      </c>
      <c r="C38" s="198"/>
      <c r="D38" s="198"/>
      <c r="E38" s="198"/>
      <c r="F38" s="157" t="s">
        <v>26</v>
      </c>
      <c r="G38" s="231">
        <f t="shared" ref="G38:M38" si="7">G40+G41</f>
        <v>1398336.86</v>
      </c>
      <c r="H38" s="231">
        <f t="shared" si="7"/>
        <v>182499.31</v>
      </c>
      <c r="I38" s="231">
        <f t="shared" si="7"/>
        <v>188843.26</v>
      </c>
      <c r="J38" s="231">
        <f t="shared" si="7"/>
        <v>197749.76000000001</v>
      </c>
      <c r="K38" s="231">
        <f t="shared" si="7"/>
        <v>205658.95</v>
      </c>
      <c r="L38" s="231">
        <f t="shared" si="7"/>
        <v>213897.13</v>
      </c>
      <c r="M38" s="233">
        <f t="shared" si="7"/>
        <v>217799.21</v>
      </c>
      <c r="N38" s="231">
        <f>N40+N41</f>
        <v>191889.24</v>
      </c>
      <c r="O38" s="30">
        <f>O40+O41</f>
        <v>235580</v>
      </c>
      <c r="P38" s="231">
        <f>P40+P41</f>
        <v>0</v>
      </c>
      <c r="Q38" s="157" t="s">
        <v>27</v>
      </c>
      <c r="R38" s="157" t="s">
        <v>27</v>
      </c>
      <c r="S38" s="157" t="s">
        <v>28</v>
      </c>
      <c r="T38" s="157" t="s">
        <v>27</v>
      </c>
      <c r="U38" s="157" t="s">
        <v>27</v>
      </c>
      <c r="V38" s="157" t="s">
        <v>28</v>
      </c>
      <c r="W38" s="157" t="s">
        <v>45</v>
      </c>
      <c r="X38" s="157" t="s">
        <v>28</v>
      </c>
      <c r="Y38" s="157" t="s">
        <v>30</v>
      </c>
      <c r="Z38" s="201" t="s">
        <v>27</v>
      </c>
      <c r="AA38" s="201" t="s">
        <v>27</v>
      </c>
      <c r="AB38" s="201" t="s">
        <v>27</v>
      </c>
      <c r="AC38" s="29"/>
      <c r="AD38" s="29"/>
      <c r="AE38" s="29"/>
      <c r="AF38" s="29"/>
      <c r="AG38" s="29"/>
      <c r="AH38" s="29"/>
      <c r="AI38" s="29"/>
      <c r="AJ38" s="29"/>
      <c r="AK38" s="29"/>
      <c r="AL38" s="29"/>
      <c r="AM38" s="29"/>
      <c r="AN38" s="29"/>
      <c r="AO38" s="29"/>
      <c r="AP38" s="29"/>
      <c r="AQ38" s="29"/>
      <c r="AR38" s="29"/>
      <c r="AS38" s="29"/>
      <c r="AT38" s="29"/>
      <c r="AU38" s="29"/>
      <c r="AV38" s="29"/>
      <c r="AW38" s="29"/>
      <c r="AX38" s="29"/>
      <c r="AY38" s="29"/>
      <c r="AZ38" s="29"/>
      <c r="BA38" s="29"/>
      <c r="BB38" s="29"/>
    </row>
    <row r="39" spans="1:54" s="22" customFormat="1" ht="16.5" hidden="1" customHeight="1" x14ac:dyDescent="0.4">
      <c r="A39" s="208"/>
      <c r="B39" s="158"/>
      <c r="C39" s="199"/>
      <c r="D39" s="199"/>
      <c r="E39" s="199"/>
      <c r="F39" s="159"/>
      <c r="G39" s="219"/>
      <c r="H39" s="219"/>
      <c r="I39" s="219"/>
      <c r="J39" s="219"/>
      <c r="K39" s="219"/>
      <c r="L39" s="219"/>
      <c r="M39" s="217"/>
      <c r="N39" s="219"/>
      <c r="P39" s="219"/>
      <c r="Q39" s="158"/>
      <c r="R39" s="158"/>
      <c r="S39" s="158"/>
      <c r="T39" s="158"/>
      <c r="U39" s="158"/>
      <c r="V39" s="158"/>
      <c r="W39" s="158"/>
      <c r="X39" s="158"/>
      <c r="Y39" s="158"/>
      <c r="Z39" s="205"/>
      <c r="AA39" s="205"/>
      <c r="AB39" s="205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9"/>
      <c r="AR39" s="29"/>
      <c r="AS39" s="29"/>
      <c r="AT39" s="29"/>
      <c r="AU39" s="29"/>
      <c r="AV39" s="29"/>
      <c r="AW39" s="29"/>
      <c r="AX39" s="29"/>
      <c r="AY39" s="29"/>
      <c r="AZ39" s="29"/>
      <c r="BA39" s="29"/>
      <c r="BB39" s="29"/>
    </row>
    <row r="40" spans="1:54" s="22" customFormat="1" ht="219" customHeight="1" x14ac:dyDescent="0.4">
      <c r="A40" s="208"/>
      <c r="B40" s="158"/>
      <c r="C40" s="199"/>
      <c r="D40" s="199"/>
      <c r="E40" s="199"/>
      <c r="F40" s="89" t="s">
        <v>32</v>
      </c>
      <c r="G40" s="27">
        <f>SUM(H40:N40)</f>
        <v>1398336.86</v>
      </c>
      <c r="H40" s="28">
        <v>182499.31</v>
      </c>
      <c r="I40" s="27">
        <v>188843.26</v>
      </c>
      <c r="J40" s="27">
        <f>197750-0.24</f>
        <v>197749.76000000001</v>
      </c>
      <c r="K40" s="27">
        <v>205658.95</v>
      </c>
      <c r="L40" s="27">
        <f>213900-2.87</f>
        <v>213897.13</v>
      </c>
      <c r="M40" s="125">
        <f>222460-4660.03-0.76</f>
        <v>217799.21</v>
      </c>
      <c r="N40" s="28">
        <v>191889.24</v>
      </c>
      <c r="O40" s="27">
        <v>235580</v>
      </c>
      <c r="P40" s="27">
        <v>0</v>
      </c>
      <c r="Q40" s="158"/>
      <c r="R40" s="158"/>
      <c r="S40" s="158"/>
      <c r="T40" s="158"/>
      <c r="U40" s="158"/>
      <c r="V40" s="158"/>
      <c r="W40" s="158"/>
      <c r="X40" s="158"/>
      <c r="Y40" s="158"/>
      <c r="Z40" s="205"/>
      <c r="AA40" s="205"/>
      <c r="AB40" s="205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9"/>
      <c r="AR40" s="29"/>
      <c r="AS40" s="29"/>
      <c r="AT40" s="29"/>
      <c r="AU40" s="29"/>
      <c r="AV40" s="29"/>
      <c r="AW40" s="29"/>
      <c r="AX40" s="29"/>
      <c r="AY40" s="29"/>
      <c r="AZ40" s="29"/>
      <c r="BA40" s="29"/>
      <c r="BB40" s="29"/>
    </row>
    <row r="41" spans="1:54" s="22" customFormat="1" ht="174" customHeight="1" x14ac:dyDescent="0.4">
      <c r="A41" s="208"/>
      <c r="B41" s="159"/>
      <c r="C41" s="200"/>
      <c r="D41" s="200"/>
      <c r="E41" s="200"/>
      <c r="F41" s="89" t="s">
        <v>33</v>
      </c>
      <c r="G41" s="27">
        <f>SUM(H41:N41)</f>
        <v>0</v>
      </c>
      <c r="H41" s="28" t="s">
        <v>35</v>
      </c>
      <c r="I41" s="27" t="s">
        <v>35</v>
      </c>
      <c r="J41" s="27" t="s">
        <v>35</v>
      </c>
      <c r="K41" s="27" t="s">
        <v>35</v>
      </c>
      <c r="L41" s="27" t="s">
        <v>35</v>
      </c>
      <c r="M41" s="125" t="s">
        <v>35</v>
      </c>
      <c r="N41" s="28" t="s">
        <v>35</v>
      </c>
      <c r="O41" s="27">
        <v>0</v>
      </c>
      <c r="P41" s="27" t="s">
        <v>35</v>
      </c>
      <c r="Q41" s="159"/>
      <c r="R41" s="159"/>
      <c r="S41" s="159"/>
      <c r="T41" s="159"/>
      <c r="U41" s="159"/>
      <c r="V41" s="159"/>
      <c r="W41" s="159"/>
      <c r="X41" s="159"/>
      <c r="Y41" s="159"/>
      <c r="Z41" s="202"/>
      <c r="AA41" s="202"/>
      <c r="AB41" s="202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29"/>
      <c r="AS41" s="29"/>
      <c r="AT41" s="29"/>
      <c r="AU41" s="29"/>
      <c r="AV41" s="29"/>
      <c r="AW41" s="29"/>
      <c r="AX41" s="29"/>
      <c r="AY41" s="29"/>
      <c r="AZ41" s="29"/>
      <c r="BA41" s="29"/>
      <c r="BB41" s="29"/>
    </row>
    <row r="42" spans="1:54" s="22" customFormat="1" ht="250.5" customHeight="1" x14ac:dyDescent="0.4">
      <c r="A42" s="198"/>
      <c r="B42" s="157" t="s">
        <v>46</v>
      </c>
      <c r="C42" s="198"/>
      <c r="D42" s="198"/>
      <c r="E42" s="198"/>
      <c r="F42" s="157" t="s">
        <v>26</v>
      </c>
      <c r="G42" s="232">
        <f t="shared" ref="G42:P42" si="8">G44+G45</f>
        <v>1704450.03</v>
      </c>
      <c r="H42" s="232">
        <f t="shared" si="8"/>
        <v>236973.38</v>
      </c>
      <c r="I42" s="232">
        <f t="shared" si="8"/>
        <v>95000</v>
      </c>
      <c r="J42" s="232">
        <f t="shared" si="8"/>
        <v>380871.98</v>
      </c>
      <c r="K42" s="232">
        <f t="shared" si="8"/>
        <v>277218.3</v>
      </c>
      <c r="L42" s="232">
        <f t="shared" si="8"/>
        <v>249085.71</v>
      </c>
      <c r="M42" s="233">
        <f t="shared" si="8"/>
        <v>233001.62</v>
      </c>
      <c r="N42" s="231">
        <f t="shared" si="8"/>
        <v>232299.04</v>
      </c>
      <c r="O42" s="139">
        <v>0</v>
      </c>
      <c r="P42" s="232">
        <f t="shared" si="8"/>
        <v>0</v>
      </c>
      <c r="Q42" s="18" t="s">
        <v>47</v>
      </c>
      <c r="R42" s="18" t="s">
        <v>38</v>
      </c>
      <c r="S42" s="18" t="s">
        <v>48</v>
      </c>
      <c r="T42" s="18" t="s">
        <v>48</v>
      </c>
      <c r="U42" s="18" t="s">
        <v>48</v>
      </c>
      <c r="V42" s="18">
        <v>2</v>
      </c>
      <c r="W42" s="18">
        <v>2</v>
      </c>
      <c r="X42" s="18" t="s">
        <v>48</v>
      </c>
      <c r="Y42" s="18" t="s">
        <v>48</v>
      </c>
      <c r="Z42" s="18" t="s">
        <v>48</v>
      </c>
      <c r="AA42" s="18" t="s">
        <v>48</v>
      </c>
      <c r="AB42" s="18" t="s">
        <v>48</v>
      </c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29"/>
      <c r="AS42" s="29"/>
      <c r="AT42" s="29"/>
      <c r="AU42" s="29"/>
      <c r="AV42" s="29"/>
      <c r="AW42" s="29"/>
      <c r="AX42" s="29"/>
      <c r="AY42" s="29"/>
      <c r="AZ42" s="29"/>
      <c r="BA42" s="29"/>
      <c r="BB42" s="29"/>
    </row>
    <row r="43" spans="1:54" s="22" customFormat="1" ht="49.5" hidden="1" customHeight="1" x14ac:dyDescent="0.4">
      <c r="A43" s="199"/>
      <c r="B43" s="158"/>
      <c r="C43" s="199"/>
      <c r="D43" s="199"/>
      <c r="E43" s="199"/>
      <c r="F43" s="159"/>
      <c r="G43" s="221"/>
      <c r="H43" s="221"/>
      <c r="I43" s="221"/>
      <c r="J43" s="221"/>
      <c r="K43" s="221"/>
      <c r="L43" s="221"/>
      <c r="M43" s="217"/>
      <c r="N43" s="219"/>
      <c r="O43" s="140"/>
      <c r="P43" s="221"/>
      <c r="Q43" s="99"/>
      <c r="R43" s="99"/>
      <c r="S43" s="99"/>
      <c r="T43" s="99"/>
      <c r="U43" s="99"/>
      <c r="V43" s="99"/>
      <c r="W43" s="99"/>
      <c r="X43" s="99"/>
      <c r="Y43" s="99"/>
      <c r="Z43" s="31"/>
      <c r="AA43" s="32"/>
      <c r="AB43" s="103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</row>
    <row r="44" spans="1:54" s="22" customFormat="1" ht="228" customHeight="1" x14ac:dyDescent="0.4">
      <c r="A44" s="199"/>
      <c r="B44" s="158"/>
      <c r="C44" s="199"/>
      <c r="D44" s="199"/>
      <c r="E44" s="199"/>
      <c r="F44" s="89" t="s">
        <v>32</v>
      </c>
      <c r="G44" s="27">
        <f>+H44+I44+J44+K44+L44+M44+N44</f>
        <v>421736.28</v>
      </c>
      <c r="H44" s="28">
        <v>200704.19</v>
      </c>
      <c r="I44" s="27">
        <v>95000</v>
      </c>
      <c r="J44" s="27">
        <f>100000+6200</f>
        <v>106200</v>
      </c>
      <c r="K44" s="27">
        <v>5544.37</v>
      </c>
      <c r="L44" s="27">
        <v>4981.71</v>
      </c>
      <c r="M44" s="125">
        <v>4660.03</v>
      </c>
      <c r="N44" s="28">
        <v>4645.9799999999996</v>
      </c>
      <c r="O44" s="27">
        <v>0</v>
      </c>
      <c r="P44" s="27">
        <v>0</v>
      </c>
      <c r="Q44" s="158" t="s">
        <v>49</v>
      </c>
      <c r="R44" s="158" t="s">
        <v>50</v>
      </c>
      <c r="S44" s="99"/>
      <c r="T44" s="157" t="s">
        <v>48</v>
      </c>
      <c r="U44" s="157" t="s">
        <v>48</v>
      </c>
      <c r="V44" s="157" t="s">
        <v>48</v>
      </c>
      <c r="W44" s="157" t="s">
        <v>48</v>
      </c>
      <c r="X44" s="158">
        <v>1</v>
      </c>
      <c r="Y44" s="158">
        <v>1</v>
      </c>
      <c r="Z44" s="157">
        <v>1</v>
      </c>
      <c r="AA44" s="157" t="s">
        <v>48</v>
      </c>
      <c r="AB44" s="157" t="s">
        <v>48</v>
      </c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</row>
    <row r="45" spans="1:54" s="22" customFormat="1" ht="174" customHeight="1" x14ac:dyDescent="0.4">
      <c r="A45" s="200"/>
      <c r="B45" s="159"/>
      <c r="C45" s="200"/>
      <c r="D45" s="200"/>
      <c r="E45" s="200"/>
      <c r="F45" s="89" t="s">
        <v>33</v>
      </c>
      <c r="G45" s="27">
        <f>H45+I45+J45+K45+L45+M45+N45</f>
        <v>1282713.75</v>
      </c>
      <c r="H45" s="28">
        <v>36269.19</v>
      </c>
      <c r="I45" s="33">
        <v>0</v>
      </c>
      <c r="J45" s="27">
        <v>274671.98</v>
      </c>
      <c r="K45" s="27">
        <v>271673.93</v>
      </c>
      <c r="L45" s="27">
        <f>26851.44+217252.56</f>
        <v>244104</v>
      </c>
      <c r="M45" s="125">
        <v>228341.59</v>
      </c>
      <c r="N45" s="28">
        <v>227653.06</v>
      </c>
      <c r="O45" s="27">
        <v>0</v>
      </c>
      <c r="P45" s="27" t="s">
        <v>35</v>
      </c>
      <c r="Q45" s="159"/>
      <c r="R45" s="159"/>
      <c r="S45" s="100"/>
      <c r="T45" s="172"/>
      <c r="U45" s="172"/>
      <c r="V45" s="172"/>
      <c r="W45" s="172"/>
      <c r="X45" s="159"/>
      <c r="Y45" s="159"/>
      <c r="Z45" s="172"/>
      <c r="AA45" s="172"/>
      <c r="AB45" s="172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9"/>
      <c r="AS45" s="29"/>
      <c r="AT45" s="29"/>
      <c r="AU45" s="29"/>
      <c r="AV45" s="29"/>
      <c r="AW45" s="29"/>
      <c r="AX45" s="29"/>
      <c r="AY45" s="29"/>
      <c r="AZ45" s="29"/>
      <c r="BA45" s="29"/>
      <c r="BB45" s="29"/>
    </row>
    <row r="46" spans="1:54" s="22" customFormat="1" ht="174" customHeight="1" x14ac:dyDescent="0.4">
      <c r="A46" s="105"/>
      <c r="B46" s="157" t="s">
        <v>51</v>
      </c>
      <c r="C46" s="104"/>
      <c r="D46" s="104"/>
      <c r="E46" s="104"/>
      <c r="F46" s="98" t="s">
        <v>26</v>
      </c>
      <c r="G46" s="34">
        <f t="shared" ref="G46:P46" si="9">G47+G48</f>
        <v>280277.52999999997</v>
      </c>
      <c r="H46" s="34">
        <f t="shared" si="9"/>
        <v>0</v>
      </c>
      <c r="I46" s="34">
        <f t="shared" si="9"/>
        <v>0</v>
      </c>
      <c r="J46" s="34">
        <f t="shared" si="9"/>
        <v>280277.52999999997</v>
      </c>
      <c r="K46" s="34">
        <f t="shared" si="9"/>
        <v>0</v>
      </c>
      <c r="L46" s="34">
        <f t="shared" si="9"/>
        <v>0</v>
      </c>
      <c r="M46" s="126">
        <f t="shared" si="9"/>
        <v>0</v>
      </c>
      <c r="N46" s="142">
        <f t="shared" si="9"/>
        <v>0</v>
      </c>
      <c r="O46" s="34">
        <v>0</v>
      </c>
      <c r="P46" s="34">
        <f t="shared" si="9"/>
        <v>0</v>
      </c>
      <c r="Q46" s="157" t="s">
        <v>52</v>
      </c>
      <c r="R46" s="99"/>
      <c r="S46" s="99"/>
      <c r="T46" s="99"/>
      <c r="U46" s="99"/>
      <c r="V46" s="99"/>
      <c r="W46" s="99"/>
      <c r="X46" s="99"/>
      <c r="Y46" s="99"/>
      <c r="Z46" s="103"/>
      <c r="AA46" s="103"/>
      <c r="AB46" s="103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9"/>
      <c r="AS46" s="29"/>
      <c r="AT46" s="29"/>
      <c r="AU46" s="29"/>
      <c r="AV46" s="29"/>
      <c r="AW46" s="29"/>
      <c r="AX46" s="29"/>
      <c r="AY46" s="29"/>
      <c r="AZ46" s="29"/>
      <c r="BA46" s="29"/>
      <c r="BB46" s="29"/>
    </row>
    <row r="47" spans="1:54" s="22" customFormat="1" ht="250.5" customHeight="1" x14ac:dyDescent="0.4">
      <c r="A47" s="105"/>
      <c r="B47" s="158"/>
      <c r="C47" s="104"/>
      <c r="D47" s="104"/>
      <c r="E47" s="104"/>
      <c r="F47" s="89" t="s">
        <v>32</v>
      </c>
      <c r="G47" s="27">
        <f>+H47+I47+J47+K47+L47+M47+N47</f>
        <v>5605.55</v>
      </c>
      <c r="H47" s="28">
        <v>0</v>
      </c>
      <c r="I47" s="27">
        <v>0</v>
      </c>
      <c r="J47" s="27">
        <f>5605.55</f>
        <v>5605.55</v>
      </c>
      <c r="K47" s="27">
        <v>0</v>
      </c>
      <c r="L47" s="27">
        <v>0</v>
      </c>
      <c r="M47" s="125">
        <v>0</v>
      </c>
      <c r="N47" s="28">
        <v>0</v>
      </c>
      <c r="O47" s="27">
        <v>0</v>
      </c>
      <c r="P47" s="27">
        <v>0</v>
      </c>
      <c r="Q47" s="158"/>
      <c r="R47" s="99" t="s">
        <v>38</v>
      </c>
      <c r="S47" s="99" t="s">
        <v>48</v>
      </c>
      <c r="T47" s="99" t="s">
        <v>48</v>
      </c>
      <c r="U47" s="99" t="s">
        <v>48</v>
      </c>
      <c r="V47" s="99">
        <v>2</v>
      </c>
      <c r="W47" s="99" t="s">
        <v>48</v>
      </c>
      <c r="X47" s="99" t="s">
        <v>48</v>
      </c>
      <c r="Y47" s="99" t="s">
        <v>48</v>
      </c>
      <c r="Z47" s="99" t="s">
        <v>48</v>
      </c>
      <c r="AA47" s="99" t="s">
        <v>48</v>
      </c>
      <c r="AB47" s="99" t="s">
        <v>48</v>
      </c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9"/>
      <c r="AS47" s="29"/>
      <c r="AT47" s="29"/>
      <c r="AU47" s="29"/>
      <c r="AV47" s="29"/>
      <c r="AW47" s="29"/>
      <c r="AX47" s="29"/>
      <c r="AY47" s="29"/>
      <c r="AZ47" s="29"/>
      <c r="BA47" s="29"/>
      <c r="BB47" s="29"/>
    </row>
    <row r="48" spans="1:54" s="22" customFormat="1" ht="174" customHeight="1" x14ac:dyDescent="0.4">
      <c r="A48" s="105"/>
      <c r="B48" s="159"/>
      <c r="C48" s="104"/>
      <c r="D48" s="104"/>
      <c r="E48" s="104"/>
      <c r="F48" s="89" t="s">
        <v>33</v>
      </c>
      <c r="G48" s="27">
        <f>H48+I48+J48+K48+L48+M48+N48</f>
        <v>274671.98</v>
      </c>
      <c r="H48" s="28">
        <v>0</v>
      </c>
      <c r="I48" s="33">
        <v>0</v>
      </c>
      <c r="J48" s="27">
        <v>274671.98</v>
      </c>
      <c r="K48" s="27">
        <v>0</v>
      </c>
      <c r="L48" s="27">
        <v>0</v>
      </c>
      <c r="M48" s="125" t="s">
        <v>35</v>
      </c>
      <c r="N48" s="28" t="s">
        <v>35</v>
      </c>
      <c r="O48" s="27">
        <v>0</v>
      </c>
      <c r="P48" s="27" t="s">
        <v>35</v>
      </c>
      <c r="Q48" s="159"/>
      <c r="R48" s="99"/>
      <c r="S48" s="99"/>
      <c r="T48" s="99"/>
      <c r="U48" s="99"/>
      <c r="V48" s="99"/>
      <c r="W48" s="99"/>
      <c r="X48" s="99"/>
      <c r="Y48" s="99"/>
      <c r="Z48" s="103"/>
      <c r="AA48" s="103"/>
      <c r="AB48" s="103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29"/>
      <c r="AS48" s="29"/>
      <c r="AT48" s="29"/>
      <c r="AU48" s="29"/>
      <c r="AV48" s="29"/>
      <c r="AW48" s="29"/>
      <c r="AX48" s="29"/>
      <c r="AY48" s="29"/>
      <c r="AZ48" s="29"/>
      <c r="BA48" s="29"/>
      <c r="BB48" s="29"/>
    </row>
    <row r="49" spans="1:54" s="22" customFormat="1" ht="112.5" customHeight="1" x14ac:dyDescent="0.4">
      <c r="A49" s="208"/>
      <c r="B49" s="157" t="s">
        <v>53</v>
      </c>
      <c r="C49" s="198"/>
      <c r="D49" s="198"/>
      <c r="E49" s="198"/>
      <c r="F49" s="157" t="s">
        <v>26</v>
      </c>
      <c r="G49" s="232">
        <f t="shared" ref="G49:P49" si="10">G51+G52</f>
        <v>170505</v>
      </c>
      <c r="H49" s="232">
        <f t="shared" si="10"/>
        <v>19997</v>
      </c>
      <c r="I49" s="232">
        <f t="shared" si="10"/>
        <v>6000</v>
      </c>
      <c r="J49" s="232">
        <f t="shared" si="10"/>
        <v>29779</v>
      </c>
      <c r="K49" s="232">
        <f t="shared" si="10"/>
        <v>30000</v>
      </c>
      <c r="L49" s="232">
        <f t="shared" si="10"/>
        <v>39729</v>
      </c>
      <c r="M49" s="233">
        <f t="shared" si="10"/>
        <v>0</v>
      </c>
      <c r="N49" s="231">
        <f t="shared" si="10"/>
        <v>45000</v>
      </c>
      <c r="O49" s="139">
        <f>O51+O52</f>
        <v>0</v>
      </c>
      <c r="P49" s="232">
        <f t="shared" si="10"/>
        <v>0</v>
      </c>
      <c r="Q49" s="157" t="s">
        <v>27</v>
      </c>
      <c r="R49" s="157" t="s">
        <v>27</v>
      </c>
      <c r="S49" s="157" t="s">
        <v>28</v>
      </c>
      <c r="T49" s="157" t="s">
        <v>27</v>
      </c>
      <c r="U49" s="157" t="s">
        <v>27</v>
      </c>
      <c r="V49" s="157" t="s">
        <v>28</v>
      </c>
      <c r="W49" s="157" t="s">
        <v>45</v>
      </c>
      <c r="X49" s="157" t="s">
        <v>28</v>
      </c>
      <c r="Y49" s="157" t="s">
        <v>30</v>
      </c>
      <c r="Z49" s="201" t="s">
        <v>27</v>
      </c>
      <c r="AA49" s="201" t="s">
        <v>27</v>
      </c>
      <c r="AB49" s="201" t="s">
        <v>27</v>
      </c>
      <c r="AC49" s="29"/>
      <c r="AD49" s="29"/>
      <c r="AE49" s="29"/>
      <c r="AF49" s="29"/>
      <c r="AG49" s="29"/>
      <c r="AH49" s="29"/>
      <c r="AI49" s="29"/>
      <c r="AJ49" s="29"/>
      <c r="AK49" s="29"/>
      <c r="AL49" s="29"/>
      <c r="AM49" s="29"/>
      <c r="AN49" s="29"/>
      <c r="AO49" s="29"/>
      <c r="AP49" s="29"/>
      <c r="AQ49" s="29"/>
      <c r="AR49" s="29"/>
      <c r="AS49" s="29"/>
      <c r="AT49" s="29"/>
      <c r="AU49" s="29"/>
      <c r="AV49" s="29"/>
      <c r="AW49" s="29"/>
      <c r="AX49" s="29"/>
      <c r="AY49" s="29"/>
      <c r="AZ49" s="29"/>
      <c r="BA49" s="29"/>
      <c r="BB49" s="29"/>
    </row>
    <row r="50" spans="1:54" s="22" customFormat="1" ht="36" hidden="1" customHeight="1" x14ac:dyDescent="0.4">
      <c r="A50" s="208"/>
      <c r="B50" s="158"/>
      <c r="C50" s="199"/>
      <c r="D50" s="199"/>
      <c r="E50" s="199"/>
      <c r="F50" s="159"/>
      <c r="G50" s="221"/>
      <c r="H50" s="221"/>
      <c r="I50" s="221"/>
      <c r="J50" s="221"/>
      <c r="K50" s="221"/>
      <c r="L50" s="221"/>
      <c r="M50" s="217"/>
      <c r="N50" s="219"/>
      <c r="O50" s="140"/>
      <c r="P50" s="221"/>
      <c r="Q50" s="158"/>
      <c r="R50" s="158"/>
      <c r="S50" s="158"/>
      <c r="T50" s="158"/>
      <c r="U50" s="158"/>
      <c r="V50" s="158"/>
      <c r="W50" s="158"/>
      <c r="X50" s="158"/>
      <c r="Y50" s="158"/>
      <c r="Z50" s="205"/>
      <c r="AA50" s="205"/>
      <c r="AB50" s="205"/>
      <c r="AC50" s="29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29"/>
      <c r="AP50" s="29"/>
      <c r="AQ50" s="29"/>
      <c r="AR50" s="29"/>
      <c r="AS50" s="29"/>
      <c r="AT50" s="29"/>
      <c r="AU50" s="29"/>
      <c r="AV50" s="29"/>
      <c r="AW50" s="29"/>
      <c r="AX50" s="29"/>
      <c r="AY50" s="29"/>
      <c r="AZ50" s="29"/>
      <c r="BA50" s="29"/>
      <c r="BB50" s="29"/>
    </row>
    <row r="51" spans="1:54" s="22" customFormat="1" ht="250.5" customHeight="1" x14ac:dyDescent="0.4">
      <c r="A51" s="208"/>
      <c r="B51" s="158"/>
      <c r="C51" s="199"/>
      <c r="D51" s="199"/>
      <c r="E51" s="199"/>
      <c r="F51" s="89" t="s">
        <v>32</v>
      </c>
      <c r="G51" s="27">
        <f>H51+I51+J51+K51+L51+M51+N51</f>
        <v>170505</v>
      </c>
      <c r="H51" s="28">
        <v>19997</v>
      </c>
      <c r="I51" s="27">
        <v>6000</v>
      </c>
      <c r="J51" s="27">
        <v>29779</v>
      </c>
      <c r="K51" s="27">
        <f>50000-5920-14080</f>
        <v>30000</v>
      </c>
      <c r="L51" s="27">
        <v>39729</v>
      </c>
      <c r="M51" s="125">
        <v>0</v>
      </c>
      <c r="N51" s="28">
        <v>45000</v>
      </c>
      <c r="O51" s="27">
        <v>0</v>
      </c>
      <c r="P51" s="27">
        <v>0</v>
      </c>
      <c r="Q51" s="158"/>
      <c r="R51" s="158"/>
      <c r="S51" s="158"/>
      <c r="T51" s="158"/>
      <c r="U51" s="158"/>
      <c r="V51" s="158"/>
      <c r="W51" s="158"/>
      <c r="X51" s="158"/>
      <c r="Y51" s="158"/>
      <c r="Z51" s="205"/>
      <c r="AA51" s="205"/>
      <c r="AB51" s="205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29"/>
      <c r="AS51" s="29"/>
      <c r="AT51" s="29"/>
      <c r="AU51" s="29"/>
      <c r="AV51" s="29"/>
      <c r="AW51" s="29"/>
      <c r="AX51" s="29"/>
      <c r="AY51" s="29"/>
      <c r="AZ51" s="29"/>
      <c r="BA51" s="29"/>
      <c r="BB51" s="29"/>
    </row>
    <row r="52" spans="1:54" s="22" customFormat="1" ht="174" customHeight="1" x14ac:dyDescent="0.4">
      <c r="A52" s="208"/>
      <c r="B52" s="159"/>
      <c r="C52" s="200"/>
      <c r="D52" s="200"/>
      <c r="E52" s="200"/>
      <c r="F52" s="89" t="s">
        <v>33</v>
      </c>
      <c r="G52" s="27">
        <f>H52+I52+J52+K52+L52+M52+N52</f>
        <v>0</v>
      </c>
      <c r="H52" s="28" t="s">
        <v>35</v>
      </c>
      <c r="I52" s="27" t="s">
        <v>35</v>
      </c>
      <c r="J52" s="27" t="s">
        <v>35</v>
      </c>
      <c r="K52" s="27" t="s">
        <v>35</v>
      </c>
      <c r="L52" s="27" t="s">
        <v>35</v>
      </c>
      <c r="M52" s="125" t="s">
        <v>35</v>
      </c>
      <c r="N52" s="28" t="s">
        <v>35</v>
      </c>
      <c r="O52" s="27">
        <v>0</v>
      </c>
      <c r="P52" s="27" t="s">
        <v>35</v>
      </c>
      <c r="Q52" s="159"/>
      <c r="R52" s="159"/>
      <c r="S52" s="159"/>
      <c r="T52" s="159"/>
      <c r="U52" s="159"/>
      <c r="V52" s="159"/>
      <c r="W52" s="159"/>
      <c r="X52" s="159"/>
      <c r="Y52" s="159"/>
      <c r="Z52" s="202"/>
      <c r="AA52" s="202"/>
      <c r="AB52" s="202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</row>
    <row r="53" spans="1:54" s="22" customFormat="1" ht="117" customHeight="1" x14ac:dyDescent="0.4">
      <c r="A53" s="208"/>
      <c r="B53" s="157" t="s">
        <v>54</v>
      </c>
      <c r="C53" s="198"/>
      <c r="D53" s="198"/>
      <c r="E53" s="198"/>
      <c r="F53" s="157" t="s">
        <v>26</v>
      </c>
      <c r="G53" s="232">
        <f t="shared" ref="G53:P53" si="11">G55+G56</f>
        <v>3012382.7700000005</v>
      </c>
      <c r="H53" s="232">
        <f t="shared" si="11"/>
        <v>173896.45</v>
      </c>
      <c r="I53" s="232">
        <f t="shared" si="11"/>
        <v>231430.89</v>
      </c>
      <c r="J53" s="232">
        <f t="shared" si="11"/>
        <v>178531.18000000002</v>
      </c>
      <c r="K53" s="232">
        <f t="shared" si="11"/>
        <v>565995.12</v>
      </c>
      <c r="L53" s="232">
        <f t="shared" si="11"/>
        <v>579271.92000000004</v>
      </c>
      <c r="M53" s="233">
        <f t="shared" si="11"/>
        <v>616484.22</v>
      </c>
      <c r="N53" s="231">
        <f t="shared" si="11"/>
        <v>666772.99</v>
      </c>
      <c r="O53" s="139">
        <f>O55+O56</f>
        <v>0</v>
      </c>
      <c r="P53" s="232">
        <f t="shared" si="11"/>
        <v>0</v>
      </c>
      <c r="Q53" s="157" t="s">
        <v>27</v>
      </c>
      <c r="R53" s="157" t="s">
        <v>27</v>
      </c>
      <c r="S53" s="157" t="s">
        <v>28</v>
      </c>
      <c r="T53" s="157" t="s">
        <v>27</v>
      </c>
      <c r="U53" s="157" t="s">
        <v>27</v>
      </c>
      <c r="V53" s="157" t="s">
        <v>28</v>
      </c>
      <c r="W53" s="157" t="s">
        <v>45</v>
      </c>
      <c r="X53" s="157" t="s">
        <v>28</v>
      </c>
      <c r="Y53" s="157" t="s">
        <v>30</v>
      </c>
      <c r="Z53" s="201" t="s">
        <v>27</v>
      </c>
      <c r="AA53" s="201" t="s">
        <v>27</v>
      </c>
      <c r="AB53" s="201" t="s">
        <v>27</v>
      </c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</row>
    <row r="54" spans="1:54" s="22" customFormat="1" ht="27" hidden="1" customHeight="1" x14ac:dyDescent="0.4">
      <c r="A54" s="208"/>
      <c r="B54" s="158"/>
      <c r="C54" s="199"/>
      <c r="D54" s="199"/>
      <c r="E54" s="199"/>
      <c r="F54" s="159"/>
      <c r="G54" s="221"/>
      <c r="H54" s="221"/>
      <c r="I54" s="221"/>
      <c r="J54" s="221"/>
      <c r="K54" s="221"/>
      <c r="L54" s="221"/>
      <c r="M54" s="217"/>
      <c r="N54" s="219"/>
      <c r="O54" s="140"/>
      <c r="P54" s="221"/>
      <c r="Q54" s="158"/>
      <c r="R54" s="158"/>
      <c r="S54" s="158"/>
      <c r="T54" s="158"/>
      <c r="U54" s="158"/>
      <c r="V54" s="158"/>
      <c r="W54" s="158"/>
      <c r="X54" s="158"/>
      <c r="Y54" s="158"/>
      <c r="Z54" s="205"/>
      <c r="AA54" s="205"/>
      <c r="AB54" s="205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29"/>
      <c r="BA54" s="29"/>
      <c r="BB54" s="29"/>
    </row>
    <row r="55" spans="1:54" s="22" customFormat="1" ht="219" customHeight="1" x14ac:dyDescent="0.4">
      <c r="A55" s="208"/>
      <c r="B55" s="158"/>
      <c r="C55" s="199"/>
      <c r="D55" s="199"/>
      <c r="E55" s="199"/>
      <c r="F55" s="89" t="s">
        <v>32</v>
      </c>
      <c r="G55" s="27">
        <f>H55+I55+J55+K55+L55+M55+N55</f>
        <v>3012382.7700000005</v>
      </c>
      <c r="H55" s="28">
        <v>173896.45</v>
      </c>
      <c r="I55" s="27">
        <v>231430.89</v>
      </c>
      <c r="J55" s="27">
        <f>240400-40369.61-21499.21</f>
        <v>178531.18000000002</v>
      </c>
      <c r="K55" s="27">
        <f>567705.04-1709.92</f>
        <v>565995.12</v>
      </c>
      <c r="L55" s="27">
        <v>579271.92000000004</v>
      </c>
      <c r="M55" s="125">
        <f>616519.45-35.23</f>
        <v>616484.22</v>
      </c>
      <c r="N55" s="28">
        <v>666772.99</v>
      </c>
      <c r="O55" s="27">
        <v>0</v>
      </c>
      <c r="P55" s="27">
        <v>0</v>
      </c>
      <c r="Q55" s="158"/>
      <c r="R55" s="158"/>
      <c r="S55" s="158"/>
      <c r="T55" s="158"/>
      <c r="U55" s="158"/>
      <c r="V55" s="158"/>
      <c r="W55" s="158"/>
      <c r="X55" s="158"/>
      <c r="Y55" s="158"/>
      <c r="Z55" s="205"/>
      <c r="AA55" s="205"/>
      <c r="AB55" s="205"/>
      <c r="AC55" s="29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29"/>
      <c r="AP55" s="29"/>
      <c r="AQ55" s="29"/>
      <c r="AR55" s="29"/>
      <c r="AS55" s="29"/>
      <c r="AT55" s="29"/>
      <c r="AU55" s="29"/>
      <c r="AV55" s="29"/>
      <c r="AW55" s="29"/>
      <c r="AX55" s="29"/>
      <c r="AY55" s="29"/>
      <c r="AZ55" s="29"/>
      <c r="BA55" s="29"/>
      <c r="BB55" s="29"/>
    </row>
    <row r="56" spans="1:54" s="22" customFormat="1" ht="174" customHeight="1" x14ac:dyDescent="0.4">
      <c r="A56" s="208"/>
      <c r="B56" s="159"/>
      <c r="C56" s="200"/>
      <c r="D56" s="200"/>
      <c r="E56" s="200"/>
      <c r="F56" s="89" t="s">
        <v>33</v>
      </c>
      <c r="G56" s="27">
        <f>H56+I56+J56+K56+L56+M56+N56</f>
        <v>0</v>
      </c>
      <c r="H56" s="28" t="s">
        <v>35</v>
      </c>
      <c r="I56" s="27" t="s">
        <v>35</v>
      </c>
      <c r="J56" s="27" t="s">
        <v>35</v>
      </c>
      <c r="K56" s="27" t="s">
        <v>35</v>
      </c>
      <c r="L56" s="27" t="s">
        <v>35</v>
      </c>
      <c r="M56" s="125" t="s">
        <v>35</v>
      </c>
      <c r="N56" s="28" t="s">
        <v>35</v>
      </c>
      <c r="O56" s="27">
        <v>0</v>
      </c>
      <c r="P56" s="27" t="s">
        <v>35</v>
      </c>
      <c r="Q56" s="159"/>
      <c r="R56" s="159"/>
      <c r="S56" s="159"/>
      <c r="T56" s="159"/>
      <c r="U56" s="159"/>
      <c r="V56" s="159"/>
      <c r="W56" s="159"/>
      <c r="X56" s="159"/>
      <c r="Y56" s="159"/>
      <c r="Z56" s="202"/>
      <c r="AA56" s="202"/>
      <c r="AB56" s="202"/>
      <c r="AC56" s="29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29"/>
      <c r="AP56" s="29"/>
      <c r="AQ56" s="29"/>
      <c r="AR56" s="29"/>
      <c r="AS56" s="29"/>
      <c r="AT56" s="29"/>
      <c r="AU56" s="29"/>
      <c r="AV56" s="29"/>
      <c r="AW56" s="29"/>
      <c r="AX56" s="29"/>
      <c r="AY56" s="29"/>
      <c r="AZ56" s="29"/>
      <c r="BA56" s="29"/>
      <c r="BB56" s="29"/>
    </row>
    <row r="57" spans="1:54" s="22" customFormat="1" ht="237.75" customHeight="1" x14ac:dyDescent="0.4">
      <c r="A57" s="198"/>
      <c r="B57" s="157" t="s">
        <v>55</v>
      </c>
      <c r="C57" s="198"/>
      <c r="D57" s="198"/>
      <c r="E57" s="198"/>
      <c r="F57" s="98" t="s">
        <v>26</v>
      </c>
      <c r="G57" s="106">
        <f t="shared" ref="G57:P57" si="12">G58+G59</f>
        <v>159367.13</v>
      </c>
      <c r="H57" s="106">
        <f t="shared" si="12"/>
        <v>0</v>
      </c>
      <c r="I57" s="106">
        <f t="shared" si="12"/>
        <v>102040.82</v>
      </c>
      <c r="J57" s="106">
        <f t="shared" si="12"/>
        <v>0</v>
      </c>
      <c r="K57" s="106">
        <f t="shared" si="12"/>
        <v>0</v>
      </c>
      <c r="L57" s="106">
        <f t="shared" si="12"/>
        <v>0</v>
      </c>
      <c r="M57" s="127">
        <f t="shared" si="12"/>
        <v>0</v>
      </c>
      <c r="N57" s="137">
        <f t="shared" si="12"/>
        <v>57326.31</v>
      </c>
      <c r="O57" s="137">
        <f t="shared" si="12"/>
        <v>0</v>
      </c>
      <c r="P57" s="106">
        <f t="shared" si="12"/>
        <v>0</v>
      </c>
      <c r="Q57" s="18" t="s">
        <v>56</v>
      </c>
      <c r="R57" s="18" t="s">
        <v>38</v>
      </c>
      <c r="S57" s="18"/>
      <c r="T57" s="18">
        <v>106</v>
      </c>
      <c r="U57" s="18">
        <v>106</v>
      </c>
      <c r="V57" s="18" t="s">
        <v>48</v>
      </c>
      <c r="W57" s="18" t="s">
        <v>48</v>
      </c>
      <c r="X57" s="18" t="s">
        <v>48</v>
      </c>
      <c r="Y57" s="18" t="s">
        <v>48</v>
      </c>
      <c r="Z57" s="18" t="s">
        <v>48</v>
      </c>
      <c r="AA57" s="18" t="s">
        <v>48</v>
      </c>
      <c r="AB57" s="18" t="s">
        <v>48</v>
      </c>
      <c r="AC57" s="29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29"/>
      <c r="AP57" s="29"/>
      <c r="AQ57" s="29"/>
      <c r="AR57" s="29"/>
      <c r="AS57" s="29"/>
      <c r="AT57" s="29"/>
      <c r="AU57" s="29"/>
      <c r="AV57" s="29"/>
      <c r="AW57" s="29"/>
      <c r="AX57" s="29"/>
      <c r="AY57" s="29"/>
      <c r="AZ57" s="29"/>
      <c r="BA57" s="29"/>
      <c r="BB57" s="29"/>
    </row>
    <row r="58" spans="1:54" s="22" customFormat="1" ht="229.5" customHeight="1" x14ac:dyDescent="0.4">
      <c r="A58" s="199"/>
      <c r="B58" s="158"/>
      <c r="C58" s="199"/>
      <c r="D58" s="199"/>
      <c r="E58" s="199"/>
      <c r="F58" s="35" t="s">
        <v>32</v>
      </c>
      <c r="G58" s="27">
        <f>SUM(H58:N58)</f>
        <v>3187.35</v>
      </c>
      <c r="H58" s="28">
        <v>0</v>
      </c>
      <c r="I58" s="27">
        <v>2040.82</v>
      </c>
      <c r="J58" s="27">
        <v>0</v>
      </c>
      <c r="K58" s="27">
        <v>0</v>
      </c>
      <c r="L58" s="27">
        <v>0</v>
      </c>
      <c r="M58" s="125">
        <v>0</v>
      </c>
      <c r="N58" s="28">
        <v>1146.53</v>
      </c>
      <c r="O58" s="27">
        <v>0</v>
      </c>
      <c r="P58" s="27">
        <v>0</v>
      </c>
      <c r="Q58" s="158" t="s">
        <v>151</v>
      </c>
      <c r="R58" s="177" t="s">
        <v>142</v>
      </c>
      <c r="S58" s="177"/>
      <c r="T58" s="177" t="s">
        <v>48</v>
      </c>
      <c r="U58" s="177" t="s">
        <v>48</v>
      </c>
      <c r="V58" s="177" t="s">
        <v>48</v>
      </c>
      <c r="W58" s="177" t="s">
        <v>48</v>
      </c>
      <c r="X58" s="177" t="s">
        <v>48</v>
      </c>
      <c r="Y58" s="177" t="s">
        <v>48</v>
      </c>
      <c r="Z58" s="177">
        <v>1</v>
      </c>
      <c r="AA58" s="177" t="s">
        <v>48</v>
      </c>
      <c r="AB58" s="177" t="s">
        <v>48</v>
      </c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</row>
    <row r="59" spans="1:54" s="22" customFormat="1" ht="155.25" customHeight="1" x14ac:dyDescent="0.4">
      <c r="A59" s="200"/>
      <c r="B59" s="159"/>
      <c r="C59" s="200"/>
      <c r="D59" s="200"/>
      <c r="E59" s="200"/>
      <c r="F59" s="89" t="s">
        <v>33</v>
      </c>
      <c r="G59" s="27">
        <f>SUM(H59:N59)</f>
        <v>156179.78</v>
      </c>
      <c r="H59" s="28">
        <v>0</v>
      </c>
      <c r="I59" s="27">
        <v>100000</v>
      </c>
      <c r="J59" s="27" t="s">
        <v>35</v>
      </c>
      <c r="K59" s="27" t="s">
        <v>35</v>
      </c>
      <c r="L59" s="27" t="s">
        <v>35</v>
      </c>
      <c r="M59" s="125" t="s">
        <v>35</v>
      </c>
      <c r="N59" s="28">
        <v>56179.78</v>
      </c>
      <c r="O59" s="27">
        <v>0</v>
      </c>
      <c r="P59" s="27" t="s">
        <v>35</v>
      </c>
      <c r="Q59" s="159"/>
      <c r="R59" s="159"/>
      <c r="S59" s="159"/>
      <c r="T59" s="159"/>
      <c r="U59" s="159"/>
      <c r="V59" s="159"/>
      <c r="W59" s="159"/>
      <c r="X59" s="159"/>
      <c r="Y59" s="159"/>
      <c r="Z59" s="159"/>
      <c r="AA59" s="159"/>
      <c r="AB59" s="15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</row>
    <row r="60" spans="1:54" s="22" customFormat="1" ht="129" customHeight="1" x14ac:dyDescent="0.4">
      <c r="A60" s="208"/>
      <c r="B60" s="157" t="s">
        <v>57</v>
      </c>
      <c r="C60" s="198"/>
      <c r="D60" s="198"/>
      <c r="E60" s="198"/>
      <c r="F60" s="98" t="s">
        <v>26</v>
      </c>
      <c r="G60" s="106">
        <f t="shared" ref="G60:P60" si="13">G61+G62</f>
        <v>112999491.77000001</v>
      </c>
      <c r="H60" s="106">
        <f t="shared" si="13"/>
        <v>12984217.52</v>
      </c>
      <c r="I60" s="106">
        <f t="shared" si="13"/>
        <v>12933706.51</v>
      </c>
      <c r="J60" s="106">
        <f t="shared" si="13"/>
        <v>15603459.850000001</v>
      </c>
      <c r="K60" s="106">
        <f t="shared" si="13"/>
        <v>15841461.949999999</v>
      </c>
      <c r="L60" s="106">
        <f t="shared" si="13"/>
        <v>16064915.98</v>
      </c>
      <c r="M60" s="127">
        <f t="shared" si="13"/>
        <v>18546064.960000001</v>
      </c>
      <c r="N60" s="137">
        <f t="shared" si="13"/>
        <v>21025665</v>
      </c>
      <c r="O60" s="139">
        <f t="shared" si="13"/>
        <v>23999136.399999999</v>
      </c>
      <c r="P60" s="106">
        <f t="shared" si="13"/>
        <v>13535733.4</v>
      </c>
      <c r="Q60" s="157" t="s">
        <v>27</v>
      </c>
      <c r="R60" s="157" t="s">
        <v>27</v>
      </c>
      <c r="S60" s="157" t="s">
        <v>28</v>
      </c>
      <c r="T60" s="157" t="s">
        <v>27</v>
      </c>
      <c r="U60" s="157" t="s">
        <v>27</v>
      </c>
      <c r="V60" s="157" t="s">
        <v>28</v>
      </c>
      <c r="W60" s="157" t="s">
        <v>45</v>
      </c>
      <c r="X60" s="157" t="s">
        <v>28</v>
      </c>
      <c r="Y60" s="157" t="s">
        <v>30</v>
      </c>
      <c r="Z60" s="201" t="s">
        <v>27</v>
      </c>
      <c r="AA60" s="201" t="s">
        <v>27</v>
      </c>
      <c r="AB60" s="201" t="s">
        <v>27</v>
      </c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29"/>
      <c r="AZ60" s="29"/>
      <c r="BA60" s="29"/>
      <c r="BB60" s="29"/>
    </row>
    <row r="61" spans="1:54" s="22" customFormat="1" ht="232.5" customHeight="1" x14ac:dyDescent="0.4">
      <c r="A61" s="208"/>
      <c r="B61" s="158"/>
      <c r="C61" s="199"/>
      <c r="D61" s="199"/>
      <c r="E61" s="199"/>
      <c r="F61" s="89" t="s">
        <v>32</v>
      </c>
      <c r="G61" s="27">
        <f>H61+I61+J61+K61+L61+M61+N61</f>
        <v>73630792.780000001</v>
      </c>
      <c r="H61" s="28">
        <v>10373259.49</v>
      </c>
      <c r="I61" s="27">
        <f>10262943.35+2910+21433.8</f>
        <v>10287287.15</v>
      </c>
      <c r="J61" s="27">
        <f>10606903.7-68515.79+100000+219324+599000+1250096.87-74000-6200-136300+0.24</f>
        <v>12490309.020000001</v>
      </c>
      <c r="K61" s="27">
        <f>7814197.52+2359887.65+3871521.5+543352.78+315000+1500000-176949.95+324343.5-3871521.5-315000-1500000-46303+19100-125000-28637.5-100303-38200+92409.53-100934.38</f>
        <v>10536963.149999999</v>
      </c>
      <c r="L61" s="27">
        <f>8094000+2444388-479062.26-0.53+30000+42368-22516+9814-7484-2090-448791.16-68654.73</f>
        <v>9591971.3200000003</v>
      </c>
      <c r="M61" s="125">
        <f>19613385.24-8985665.9-616519.45-217799.21-4660.03</f>
        <v>9788740.6499999985</v>
      </c>
      <c r="N61" s="28">
        <f>10538388+23874</f>
        <v>10562262</v>
      </c>
      <c r="O61" s="27">
        <v>13535733.4</v>
      </c>
      <c r="P61" s="27">
        <v>13535733.4</v>
      </c>
      <c r="Q61" s="158"/>
      <c r="R61" s="158"/>
      <c r="S61" s="158"/>
      <c r="T61" s="158"/>
      <c r="U61" s="158"/>
      <c r="V61" s="158"/>
      <c r="W61" s="158"/>
      <c r="X61" s="158"/>
      <c r="Y61" s="158"/>
      <c r="Z61" s="205"/>
      <c r="AA61" s="205"/>
      <c r="AB61" s="205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</row>
    <row r="62" spans="1:54" s="22" customFormat="1" ht="174" customHeight="1" x14ac:dyDescent="0.4">
      <c r="A62" s="208"/>
      <c r="B62" s="159"/>
      <c r="C62" s="200"/>
      <c r="D62" s="200"/>
      <c r="E62" s="200"/>
      <c r="F62" s="89" t="s">
        <v>33</v>
      </c>
      <c r="G62" s="27">
        <f>SUM(H62:N62)</f>
        <v>39368698.990000002</v>
      </c>
      <c r="H62" s="28">
        <v>2610958.0299999998</v>
      </c>
      <c r="I62" s="27">
        <v>2646419.36</v>
      </c>
      <c r="J62" s="27">
        <f>2956295.25+120473+36382.58</f>
        <v>3113150.83</v>
      </c>
      <c r="K62" s="27">
        <f>2934100.8+1593498+650000+126900</f>
        <v>5304498.8</v>
      </c>
      <c r="L62" s="27">
        <f>2824930-136554.82+2918571+600000+265998.48</f>
        <v>6472944.6600000001</v>
      </c>
      <c r="M62" s="125">
        <v>8757324.3100000005</v>
      </c>
      <c r="N62" s="28">
        <v>10463403</v>
      </c>
      <c r="O62" s="27">
        <v>10463403</v>
      </c>
      <c r="P62" s="27" t="s">
        <v>35</v>
      </c>
      <c r="Q62" s="159"/>
      <c r="R62" s="159"/>
      <c r="S62" s="159"/>
      <c r="T62" s="159"/>
      <c r="U62" s="159"/>
      <c r="V62" s="159"/>
      <c r="W62" s="159"/>
      <c r="X62" s="159"/>
      <c r="Y62" s="159"/>
      <c r="Z62" s="202"/>
      <c r="AA62" s="202"/>
      <c r="AB62" s="202"/>
      <c r="AC62" s="29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29"/>
      <c r="AP62" s="29"/>
      <c r="AQ62" s="29"/>
      <c r="AR62" s="29"/>
      <c r="AS62" s="29"/>
      <c r="AT62" s="29"/>
      <c r="AU62" s="29"/>
      <c r="AV62" s="29"/>
      <c r="AW62" s="29"/>
      <c r="AX62" s="29"/>
      <c r="AY62" s="29"/>
      <c r="AZ62" s="29"/>
      <c r="BA62" s="29"/>
      <c r="BB62" s="29"/>
    </row>
    <row r="63" spans="1:54" s="22" customFormat="1" ht="109.5" customHeight="1" x14ac:dyDescent="0.4">
      <c r="A63" s="95"/>
      <c r="B63" s="157" t="s">
        <v>58</v>
      </c>
      <c r="C63" s="198"/>
      <c r="D63" s="198"/>
      <c r="E63" s="198"/>
      <c r="F63" s="98" t="s">
        <v>26</v>
      </c>
      <c r="G63" s="106">
        <f t="shared" ref="G63:P63" si="14">G64+G65</f>
        <v>110314576.64000002</v>
      </c>
      <c r="H63" s="106">
        <f t="shared" si="14"/>
        <v>12923217.52</v>
      </c>
      <c r="I63" s="106">
        <f t="shared" si="14"/>
        <v>12909362.709999999</v>
      </c>
      <c r="J63" s="106">
        <f t="shared" si="14"/>
        <v>13651538.74</v>
      </c>
      <c r="K63" s="106">
        <f t="shared" si="14"/>
        <v>15807280.739999998</v>
      </c>
      <c r="L63" s="106">
        <f t="shared" si="14"/>
        <v>16014862.979999999</v>
      </c>
      <c r="M63" s="127">
        <f t="shared" si="14"/>
        <v>18451529.950000003</v>
      </c>
      <c r="N63" s="137">
        <f t="shared" si="14"/>
        <v>20556784</v>
      </c>
      <c r="O63" s="139">
        <f t="shared" si="14"/>
        <v>20556784</v>
      </c>
      <c r="P63" s="106">
        <f t="shared" si="14"/>
        <v>0</v>
      </c>
      <c r="Q63" s="157" t="s">
        <v>59</v>
      </c>
      <c r="R63" s="157" t="s">
        <v>38</v>
      </c>
      <c r="S63" s="157"/>
      <c r="T63" s="157">
        <v>78.78</v>
      </c>
      <c r="U63" s="157">
        <v>77.349999999999994</v>
      </c>
      <c r="V63" s="157">
        <v>75.5</v>
      </c>
      <c r="W63" s="157">
        <v>77.56</v>
      </c>
      <c r="X63" s="157">
        <v>78.03</v>
      </c>
      <c r="Y63" s="157">
        <v>80.3</v>
      </c>
      <c r="Z63" s="157">
        <v>73.989999999999995</v>
      </c>
      <c r="AA63" s="157">
        <v>73.989999999999995</v>
      </c>
      <c r="AB63" s="157">
        <v>73.989999999999995</v>
      </c>
      <c r="AC63" s="29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29"/>
      <c r="AP63" s="29"/>
      <c r="AQ63" s="29"/>
      <c r="AR63" s="29"/>
      <c r="AS63" s="29"/>
      <c r="AT63" s="29"/>
      <c r="AU63" s="29"/>
      <c r="AV63" s="29"/>
      <c r="AW63" s="29"/>
      <c r="AX63" s="29"/>
      <c r="AY63" s="29"/>
      <c r="AZ63" s="29"/>
      <c r="BA63" s="29"/>
      <c r="BB63" s="29"/>
    </row>
    <row r="64" spans="1:54" s="22" customFormat="1" ht="258" customHeight="1" x14ac:dyDescent="0.4">
      <c r="A64" s="95"/>
      <c r="B64" s="158"/>
      <c r="C64" s="199"/>
      <c r="D64" s="199"/>
      <c r="E64" s="199"/>
      <c r="F64" s="89" t="s">
        <v>32</v>
      </c>
      <c r="G64" s="27">
        <f>H64+I64+J64+K64+L64+M64+N64</f>
        <v>70945877.650000006</v>
      </c>
      <c r="H64" s="28">
        <v>10312259.49</v>
      </c>
      <c r="I64" s="27">
        <f>10262943.35</f>
        <v>10262943.35</v>
      </c>
      <c r="J64" s="27">
        <f>2002496.06+8127569.7+476837.94-68515.79</f>
        <v>10538387.91</v>
      </c>
      <c r="K64" s="27">
        <f>10455871.5+46910.44</f>
        <v>10502781.939999999</v>
      </c>
      <c r="L64" s="27">
        <f>9344911.52+714413.69-448791.16-68615.73</f>
        <v>9541918.3199999984</v>
      </c>
      <c r="M64" s="125">
        <v>9694205.6400000006</v>
      </c>
      <c r="N64" s="28">
        <v>10093381</v>
      </c>
      <c r="O64" s="27">
        <v>10093381</v>
      </c>
      <c r="P64" s="27">
        <v>0</v>
      </c>
      <c r="Q64" s="158"/>
      <c r="R64" s="158"/>
      <c r="S64" s="158"/>
      <c r="T64" s="158"/>
      <c r="U64" s="158"/>
      <c r="V64" s="158"/>
      <c r="W64" s="158"/>
      <c r="X64" s="158"/>
      <c r="Y64" s="158"/>
      <c r="Z64" s="158"/>
      <c r="AA64" s="158"/>
      <c r="AB64" s="158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29"/>
      <c r="AS64" s="29"/>
      <c r="AT64" s="29"/>
      <c r="AU64" s="29"/>
      <c r="AV64" s="29"/>
      <c r="AW64" s="29"/>
      <c r="AX64" s="29"/>
      <c r="AY64" s="29"/>
      <c r="AZ64" s="29"/>
      <c r="BA64" s="29"/>
      <c r="BB64" s="29"/>
    </row>
    <row r="65" spans="1:54" s="22" customFormat="1" ht="189" customHeight="1" x14ac:dyDescent="0.4">
      <c r="A65" s="95"/>
      <c r="B65" s="159"/>
      <c r="C65" s="200"/>
      <c r="D65" s="200"/>
      <c r="E65" s="200"/>
      <c r="F65" s="89" t="s">
        <v>33</v>
      </c>
      <c r="G65" s="27">
        <f>SUM(H65:N65)</f>
        <v>39368698.990000002</v>
      </c>
      <c r="H65" s="28">
        <v>2610958.0299999998</v>
      </c>
      <c r="I65" s="27">
        <v>2646419.36</v>
      </c>
      <c r="J65" s="27">
        <f>2956295.25+156855.58</f>
        <v>3113150.83</v>
      </c>
      <c r="K65" s="27">
        <f>2934100.8+1593498+650000+126900</f>
        <v>5304498.8</v>
      </c>
      <c r="L65" s="27">
        <f>2688375.18+2918571+600000+265998.48</f>
        <v>6472944.6600000001</v>
      </c>
      <c r="M65" s="125">
        <v>8757324.3100000005</v>
      </c>
      <c r="N65" s="28">
        <v>10463403</v>
      </c>
      <c r="O65" s="27">
        <v>10463403</v>
      </c>
      <c r="P65" s="27" t="s">
        <v>35</v>
      </c>
      <c r="Q65" s="159"/>
      <c r="R65" s="159"/>
      <c r="S65" s="159"/>
      <c r="T65" s="159"/>
      <c r="U65" s="159"/>
      <c r="V65" s="159"/>
      <c r="W65" s="159"/>
      <c r="X65" s="159"/>
      <c r="Y65" s="159"/>
      <c r="Z65" s="159"/>
      <c r="AA65" s="159"/>
      <c r="AB65" s="159"/>
      <c r="AC65" s="29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29"/>
      <c r="AP65" s="29"/>
      <c r="AQ65" s="29"/>
      <c r="AR65" s="29"/>
      <c r="AS65" s="29"/>
      <c r="AT65" s="29"/>
      <c r="AU65" s="29"/>
      <c r="AV65" s="29"/>
      <c r="AW65" s="29"/>
      <c r="AX65" s="29"/>
      <c r="AY65" s="29"/>
      <c r="AZ65" s="29"/>
      <c r="BA65" s="29"/>
      <c r="BB65" s="29"/>
    </row>
    <row r="66" spans="1:54" s="22" customFormat="1" ht="174" customHeight="1" x14ac:dyDescent="0.4">
      <c r="A66" s="208"/>
      <c r="B66" s="157" t="s">
        <v>60</v>
      </c>
      <c r="C66" s="198"/>
      <c r="D66" s="198"/>
      <c r="E66" s="198"/>
      <c r="F66" s="98" t="s">
        <v>26</v>
      </c>
      <c r="G66" s="106">
        <f t="shared" ref="G66:P66" si="15">G67+G68</f>
        <v>6793050.0000000009</v>
      </c>
      <c r="H66" s="106">
        <f t="shared" si="15"/>
        <v>0</v>
      </c>
      <c r="I66" s="106">
        <f t="shared" si="15"/>
        <v>0</v>
      </c>
      <c r="J66" s="106">
        <f t="shared" si="15"/>
        <v>0</v>
      </c>
      <c r="K66" s="106">
        <f t="shared" si="15"/>
        <v>6793050.0000000009</v>
      </c>
      <c r="L66" s="106">
        <f t="shared" si="15"/>
        <v>0</v>
      </c>
      <c r="M66" s="127">
        <f t="shared" si="15"/>
        <v>0</v>
      </c>
      <c r="N66" s="137">
        <f t="shared" si="15"/>
        <v>0</v>
      </c>
      <c r="O66" s="137">
        <f t="shared" si="15"/>
        <v>0</v>
      </c>
      <c r="P66" s="106">
        <f t="shared" si="15"/>
        <v>0</v>
      </c>
      <c r="Q66" s="157" t="s">
        <v>27</v>
      </c>
      <c r="R66" s="157" t="s">
        <v>27</v>
      </c>
      <c r="S66" s="157" t="s">
        <v>28</v>
      </c>
      <c r="T66" s="157" t="s">
        <v>27</v>
      </c>
      <c r="U66" s="157" t="s">
        <v>27</v>
      </c>
      <c r="V66" s="157" t="s">
        <v>28</v>
      </c>
      <c r="W66" s="157" t="s">
        <v>45</v>
      </c>
      <c r="X66" s="157" t="s">
        <v>28</v>
      </c>
      <c r="Y66" s="157" t="s">
        <v>30</v>
      </c>
      <c r="Z66" s="201" t="s">
        <v>27</v>
      </c>
      <c r="AA66" s="201" t="s">
        <v>27</v>
      </c>
      <c r="AB66" s="201" t="s">
        <v>27</v>
      </c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29"/>
      <c r="AR66" s="29"/>
      <c r="AS66" s="29"/>
      <c r="AT66" s="29"/>
      <c r="AU66" s="29"/>
      <c r="AV66" s="29"/>
      <c r="AW66" s="29"/>
      <c r="AX66" s="29"/>
      <c r="AY66" s="29"/>
      <c r="AZ66" s="29"/>
      <c r="BA66" s="29"/>
      <c r="BB66" s="29"/>
    </row>
    <row r="67" spans="1:54" s="22" customFormat="1" ht="220.5" customHeight="1" x14ac:dyDescent="0.4">
      <c r="A67" s="208"/>
      <c r="B67" s="158"/>
      <c r="C67" s="199"/>
      <c r="D67" s="199"/>
      <c r="E67" s="199"/>
      <c r="F67" s="89" t="s">
        <v>32</v>
      </c>
      <c r="G67" s="27">
        <f>H67+I67+J67+K67+L67+N67+M67</f>
        <v>5993050.0000000009</v>
      </c>
      <c r="H67" s="28">
        <v>0</v>
      </c>
      <c r="I67" s="27">
        <v>0</v>
      </c>
      <c r="J67" s="27">
        <v>0</v>
      </c>
      <c r="K67" s="27">
        <f>K70+6005865+5657-3.47-34795.06</f>
        <v>5993050.0000000009</v>
      </c>
      <c r="L67" s="27">
        <v>0</v>
      </c>
      <c r="M67" s="125">
        <v>0</v>
      </c>
      <c r="N67" s="28">
        <v>0</v>
      </c>
      <c r="O67" s="27">
        <v>0</v>
      </c>
      <c r="P67" s="27">
        <v>0</v>
      </c>
      <c r="Q67" s="158"/>
      <c r="R67" s="158"/>
      <c r="S67" s="158"/>
      <c r="T67" s="158"/>
      <c r="U67" s="158"/>
      <c r="V67" s="158"/>
      <c r="W67" s="158"/>
      <c r="X67" s="158"/>
      <c r="Y67" s="158"/>
      <c r="Z67" s="205"/>
      <c r="AA67" s="205"/>
      <c r="AB67" s="205"/>
      <c r="AC67" s="29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29"/>
      <c r="AP67" s="29"/>
      <c r="AQ67" s="29"/>
      <c r="AR67" s="29"/>
      <c r="AS67" s="29"/>
      <c r="AT67" s="29"/>
      <c r="AU67" s="29"/>
      <c r="AV67" s="29"/>
      <c r="AW67" s="29"/>
      <c r="AX67" s="29"/>
      <c r="AY67" s="29"/>
      <c r="AZ67" s="29"/>
      <c r="BA67" s="29"/>
      <c r="BB67" s="29"/>
    </row>
    <row r="68" spans="1:54" s="22" customFormat="1" ht="220.5" customHeight="1" x14ac:dyDescent="0.4">
      <c r="A68" s="208"/>
      <c r="B68" s="159"/>
      <c r="C68" s="200"/>
      <c r="D68" s="200"/>
      <c r="E68" s="200"/>
      <c r="F68" s="89" t="s">
        <v>33</v>
      </c>
      <c r="G68" s="27">
        <f>H68+I68+J68+K68+L68+N68+M68</f>
        <v>800000</v>
      </c>
      <c r="H68" s="28">
        <v>0</v>
      </c>
      <c r="I68" s="27">
        <v>0</v>
      </c>
      <c r="J68" s="27" t="s">
        <v>35</v>
      </c>
      <c r="K68" s="27">
        <f>K71</f>
        <v>800000</v>
      </c>
      <c r="L68" s="27" t="s">
        <v>35</v>
      </c>
      <c r="M68" s="125" t="s">
        <v>35</v>
      </c>
      <c r="N68" s="28" t="s">
        <v>35</v>
      </c>
      <c r="O68" s="27">
        <v>0</v>
      </c>
      <c r="P68" s="27" t="s">
        <v>35</v>
      </c>
      <c r="Q68" s="159"/>
      <c r="R68" s="159"/>
      <c r="S68" s="159"/>
      <c r="T68" s="159"/>
      <c r="U68" s="159"/>
      <c r="V68" s="159"/>
      <c r="W68" s="159"/>
      <c r="X68" s="159"/>
      <c r="Y68" s="159"/>
      <c r="Z68" s="202"/>
      <c r="AA68" s="202"/>
      <c r="AB68" s="202"/>
      <c r="AC68" s="29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29"/>
      <c r="AP68" s="29"/>
      <c r="AQ68" s="29"/>
      <c r="AR68" s="29"/>
      <c r="AS68" s="29"/>
      <c r="AT68" s="29"/>
      <c r="AU68" s="29"/>
      <c r="AV68" s="29"/>
      <c r="AW68" s="29"/>
      <c r="AX68" s="29"/>
      <c r="AY68" s="29"/>
      <c r="AZ68" s="29"/>
      <c r="BA68" s="29"/>
      <c r="BB68" s="29"/>
    </row>
    <row r="69" spans="1:54" s="22" customFormat="1" ht="166.5" customHeight="1" x14ac:dyDescent="0.4">
      <c r="A69" s="208"/>
      <c r="B69" s="157" t="s">
        <v>61</v>
      </c>
      <c r="C69" s="198"/>
      <c r="D69" s="198"/>
      <c r="E69" s="198"/>
      <c r="F69" s="98" t="s">
        <v>26</v>
      </c>
      <c r="G69" s="106">
        <f t="shared" ref="G69:P69" si="16">G70+G71</f>
        <v>816326.53</v>
      </c>
      <c r="H69" s="106">
        <f t="shared" si="16"/>
        <v>0</v>
      </c>
      <c r="I69" s="106">
        <f t="shared" si="16"/>
        <v>0</v>
      </c>
      <c r="J69" s="106">
        <f t="shared" si="16"/>
        <v>0</v>
      </c>
      <c r="K69" s="106">
        <f t="shared" si="16"/>
        <v>816326.53</v>
      </c>
      <c r="L69" s="106">
        <f t="shared" si="16"/>
        <v>0</v>
      </c>
      <c r="M69" s="127">
        <f t="shared" si="16"/>
        <v>0</v>
      </c>
      <c r="N69" s="137">
        <f t="shared" si="16"/>
        <v>0</v>
      </c>
      <c r="O69" s="137">
        <f t="shared" si="16"/>
        <v>0</v>
      </c>
      <c r="P69" s="106">
        <f t="shared" si="16"/>
        <v>0</v>
      </c>
      <c r="Q69" s="157" t="s">
        <v>62</v>
      </c>
      <c r="R69" s="157" t="s">
        <v>12</v>
      </c>
      <c r="S69" s="157">
        <v>1</v>
      </c>
      <c r="T69" s="187" t="s">
        <v>48</v>
      </c>
      <c r="U69" s="187" t="s">
        <v>48</v>
      </c>
      <c r="V69" s="187" t="s">
        <v>48</v>
      </c>
      <c r="W69" s="187">
        <v>1</v>
      </c>
      <c r="X69" s="187" t="s">
        <v>48</v>
      </c>
      <c r="Y69" s="187" t="s">
        <v>48</v>
      </c>
      <c r="Z69" s="201" t="s">
        <v>48</v>
      </c>
      <c r="AA69" s="201" t="s">
        <v>48</v>
      </c>
      <c r="AB69" s="201" t="s">
        <v>48</v>
      </c>
      <c r="AC69" s="29"/>
      <c r="AD69" s="29"/>
      <c r="AE69" s="29"/>
      <c r="AF69" s="29"/>
      <c r="AG69" s="29"/>
      <c r="AH69" s="29"/>
      <c r="AI69" s="29"/>
      <c r="AJ69" s="29"/>
      <c r="AK69" s="29"/>
      <c r="AL69" s="29"/>
      <c r="AM69" s="29"/>
      <c r="AN69" s="29"/>
      <c r="AO69" s="29"/>
      <c r="AP69" s="29"/>
      <c r="AQ69" s="29"/>
      <c r="AR69" s="29"/>
      <c r="AS69" s="29"/>
      <c r="AT69" s="29"/>
      <c r="AU69" s="29"/>
      <c r="AV69" s="29"/>
      <c r="AW69" s="29"/>
      <c r="AX69" s="29"/>
      <c r="AY69" s="29"/>
      <c r="AZ69" s="29"/>
      <c r="BA69" s="29"/>
      <c r="BB69" s="29"/>
    </row>
    <row r="70" spans="1:54" s="22" customFormat="1" ht="219" customHeight="1" x14ac:dyDescent="0.4">
      <c r="A70" s="208"/>
      <c r="B70" s="158"/>
      <c r="C70" s="199"/>
      <c r="D70" s="199"/>
      <c r="E70" s="199"/>
      <c r="F70" s="89" t="s">
        <v>32</v>
      </c>
      <c r="G70" s="27">
        <f>H70+I70+J70+K70+L70+N70+M70</f>
        <v>16326.53</v>
      </c>
      <c r="H70" s="28">
        <v>0</v>
      </c>
      <c r="I70" s="27">
        <v>0</v>
      </c>
      <c r="J70" s="27">
        <v>0</v>
      </c>
      <c r="K70" s="27">
        <v>16326.53</v>
      </c>
      <c r="L70" s="27">
        <v>0</v>
      </c>
      <c r="M70" s="125">
        <v>0</v>
      </c>
      <c r="N70" s="28">
        <v>0</v>
      </c>
      <c r="O70" s="27">
        <v>0</v>
      </c>
      <c r="P70" s="27">
        <v>0</v>
      </c>
      <c r="Q70" s="158"/>
      <c r="R70" s="158"/>
      <c r="S70" s="158"/>
      <c r="T70" s="188"/>
      <c r="U70" s="188"/>
      <c r="V70" s="188"/>
      <c r="W70" s="188"/>
      <c r="X70" s="188"/>
      <c r="Y70" s="188"/>
      <c r="Z70" s="205"/>
      <c r="AA70" s="205"/>
      <c r="AB70" s="205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</row>
    <row r="71" spans="1:54" s="22" customFormat="1" ht="183" customHeight="1" x14ac:dyDescent="0.4">
      <c r="A71" s="208"/>
      <c r="B71" s="159"/>
      <c r="C71" s="200"/>
      <c r="D71" s="200"/>
      <c r="E71" s="200"/>
      <c r="F71" s="89" t="s">
        <v>33</v>
      </c>
      <c r="G71" s="27">
        <f>H71+I71+J71+K71+L71+N71+M71</f>
        <v>800000</v>
      </c>
      <c r="H71" s="28">
        <v>0</v>
      </c>
      <c r="I71" s="27">
        <v>0</v>
      </c>
      <c r="J71" s="27" t="s">
        <v>35</v>
      </c>
      <c r="K71" s="27">
        <v>800000</v>
      </c>
      <c r="L71" s="27" t="s">
        <v>35</v>
      </c>
      <c r="M71" s="125" t="s">
        <v>35</v>
      </c>
      <c r="N71" s="28" t="s">
        <v>35</v>
      </c>
      <c r="O71" s="27">
        <v>0</v>
      </c>
      <c r="P71" s="27" t="s">
        <v>35</v>
      </c>
      <c r="Q71" s="159"/>
      <c r="R71" s="159"/>
      <c r="S71" s="159"/>
      <c r="T71" s="189"/>
      <c r="U71" s="189"/>
      <c r="V71" s="189"/>
      <c r="W71" s="189"/>
      <c r="X71" s="189"/>
      <c r="Y71" s="189"/>
      <c r="Z71" s="202"/>
      <c r="AA71" s="202"/>
      <c r="AB71" s="202"/>
      <c r="AC71" s="29"/>
      <c r="AD71" s="29"/>
      <c r="AE71" s="29"/>
      <c r="AF71" s="29"/>
      <c r="AG71" s="29"/>
      <c r="AH71" s="29"/>
      <c r="AI71" s="29"/>
      <c r="AJ71" s="29"/>
      <c r="AK71" s="29"/>
      <c r="AL71" s="29"/>
      <c r="AM71" s="29"/>
      <c r="AN71" s="29"/>
      <c r="AO71" s="29"/>
      <c r="AP71" s="29"/>
      <c r="AQ71" s="29"/>
      <c r="AR71" s="29"/>
      <c r="AS71" s="29"/>
      <c r="AT71" s="29"/>
      <c r="AU71" s="29"/>
      <c r="AV71" s="29"/>
      <c r="AW71" s="29"/>
      <c r="AX71" s="29"/>
      <c r="AY71" s="29"/>
      <c r="AZ71" s="29"/>
      <c r="BA71" s="29"/>
      <c r="BB71" s="29"/>
    </row>
    <row r="72" spans="1:54" s="22" customFormat="1" ht="114" customHeight="1" x14ac:dyDescent="0.4">
      <c r="A72" s="95"/>
      <c r="B72" s="214" t="s">
        <v>63</v>
      </c>
      <c r="C72" s="105"/>
      <c r="D72" s="105"/>
      <c r="E72" s="105"/>
      <c r="F72" s="89" t="s">
        <v>26</v>
      </c>
      <c r="G72" s="27">
        <f t="shared" ref="G72:P72" si="17">G73+G74</f>
        <v>0</v>
      </c>
      <c r="H72" s="27">
        <f t="shared" si="17"/>
        <v>0</v>
      </c>
      <c r="I72" s="27">
        <f t="shared" si="17"/>
        <v>0</v>
      </c>
      <c r="J72" s="27">
        <f t="shared" si="17"/>
        <v>0</v>
      </c>
      <c r="K72" s="27">
        <f t="shared" si="17"/>
        <v>0</v>
      </c>
      <c r="L72" s="27">
        <f t="shared" si="17"/>
        <v>0</v>
      </c>
      <c r="M72" s="125">
        <f t="shared" si="17"/>
        <v>0</v>
      </c>
      <c r="N72" s="28">
        <f t="shared" si="17"/>
        <v>0</v>
      </c>
      <c r="O72" s="28">
        <f t="shared" si="17"/>
        <v>0</v>
      </c>
      <c r="P72" s="27">
        <f t="shared" si="17"/>
        <v>0</v>
      </c>
      <c r="Q72" s="100"/>
      <c r="R72" s="100"/>
      <c r="S72" s="100"/>
      <c r="T72" s="100"/>
      <c r="U72" s="100"/>
      <c r="V72" s="100"/>
      <c r="W72" s="100"/>
      <c r="X72" s="100"/>
      <c r="Y72" s="100"/>
      <c r="Z72" s="96"/>
      <c r="AA72" s="96"/>
      <c r="AB72" s="96"/>
      <c r="AC72" s="29"/>
      <c r="AD72" s="29"/>
      <c r="AE72" s="29"/>
      <c r="AF72" s="29"/>
      <c r="AG72" s="29"/>
      <c r="AH72" s="29"/>
      <c r="AI72" s="29"/>
      <c r="AJ72" s="29"/>
      <c r="AK72" s="29"/>
      <c r="AL72" s="29"/>
      <c r="AM72" s="29"/>
      <c r="AN72" s="29"/>
      <c r="AO72" s="29"/>
      <c r="AP72" s="29"/>
      <c r="AQ72" s="29"/>
      <c r="AR72" s="29"/>
      <c r="AS72" s="29"/>
      <c r="AT72" s="29"/>
      <c r="AU72" s="29"/>
      <c r="AV72" s="29"/>
      <c r="AW72" s="29"/>
      <c r="AX72" s="29"/>
      <c r="AY72" s="29"/>
      <c r="AZ72" s="29"/>
      <c r="BA72" s="29"/>
      <c r="BB72" s="29"/>
    </row>
    <row r="73" spans="1:54" s="22" customFormat="1" ht="241.5" customHeight="1" x14ac:dyDescent="0.4">
      <c r="A73" s="95"/>
      <c r="B73" s="214"/>
      <c r="C73" s="105"/>
      <c r="D73" s="105"/>
      <c r="E73" s="105"/>
      <c r="F73" s="89" t="s">
        <v>32</v>
      </c>
      <c r="G73" s="27">
        <f>H73+I73+J73+K73+L73+M73+N73</f>
        <v>0</v>
      </c>
      <c r="H73" s="28">
        <v>0</v>
      </c>
      <c r="I73" s="27">
        <v>0</v>
      </c>
      <c r="J73" s="27">
        <v>0</v>
      </c>
      <c r="K73" s="27">
        <v>0</v>
      </c>
      <c r="L73" s="27">
        <v>0</v>
      </c>
      <c r="M73" s="125">
        <v>0</v>
      </c>
      <c r="N73" s="28">
        <v>0</v>
      </c>
      <c r="O73" s="27">
        <v>0</v>
      </c>
      <c r="P73" s="27">
        <v>0</v>
      </c>
      <c r="Q73" s="100"/>
      <c r="R73" s="100"/>
      <c r="S73" s="100"/>
      <c r="T73" s="100"/>
      <c r="U73" s="100"/>
      <c r="V73" s="100"/>
      <c r="W73" s="100"/>
      <c r="X73" s="100"/>
      <c r="Y73" s="100"/>
      <c r="Z73" s="96"/>
      <c r="AA73" s="96"/>
      <c r="AB73" s="96"/>
      <c r="AC73" s="29"/>
      <c r="AD73" s="29"/>
      <c r="AE73" s="29"/>
      <c r="AF73" s="29"/>
      <c r="AG73" s="29"/>
      <c r="AH73" s="29"/>
      <c r="AI73" s="29"/>
      <c r="AJ73" s="29"/>
      <c r="AK73" s="29"/>
      <c r="AL73" s="29"/>
      <c r="AM73" s="29"/>
      <c r="AN73" s="29"/>
      <c r="AO73" s="29"/>
      <c r="AP73" s="29"/>
      <c r="AQ73" s="29"/>
      <c r="AR73" s="29"/>
      <c r="AS73" s="29"/>
      <c r="AT73" s="29"/>
      <c r="AU73" s="29"/>
      <c r="AV73" s="29"/>
      <c r="AW73" s="29"/>
      <c r="AX73" s="29"/>
      <c r="AY73" s="29"/>
      <c r="AZ73" s="29"/>
      <c r="BA73" s="29"/>
      <c r="BB73" s="29"/>
    </row>
    <row r="74" spans="1:54" s="22" customFormat="1" ht="174" customHeight="1" x14ac:dyDescent="0.4">
      <c r="A74" s="95"/>
      <c r="B74" s="215"/>
      <c r="C74" s="105"/>
      <c r="D74" s="105"/>
      <c r="E74" s="105"/>
      <c r="F74" s="89" t="s">
        <v>33</v>
      </c>
      <c r="G74" s="27">
        <f>H74+I74+J74+K74+L74+M74+N74</f>
        <v>0</v>
      </c>
      <c r="H74" s="28">
        <v>0</v>
      </c>
      <c r="I74" s="27">
        <v>0</v>
      </c>
      <c r="J74" s="27">
        <v>0</v>
      </c>
      <c r="K74" s="27">
        <v>0</v>
      </c>
      <c r="L74" s="27">
        <v>0</v>
      </c>
      <c r="M74" s="125">
        <v>0</v>
      </c>
      <c r="N74" s="28">
        <v>0</v>
      </c>
      <c r="O74" s="27">
        <v>0</v>
      </c>
      <c r="P74" s="27">
        <v>0</v>
      </c>
      <c r="Q74" s="100"/>
      <c r="R74" s="100"/>
      <c r="S74" s="100"/>
      <c r="T74" s="100"/>
      <c r="U74" s="100"/>
      <c r="V74" s="100"/>
      <c r="W74" s="100"/>
      <c r="X74" s="100"/>
      <c r="Y74" s="100"/>
      <c r="Z74" s="96"/>
      <c r="AA74" s="96"/>
      <c r="AB74" s="96"/>
      <c r="AC74" s="29"/>
      <c r="AD74" s="29"/>
      <c r="AE74" s="29"/>
      <c r="AF74" s="29"/>
      <c r="AG74" s="29"/>
      <c r="AH74" s="29"/>
      <c r="AI74" s="29"/>
      <c r="AJ74" s="29"/>
      <c r="AK74" s="29"/>
      <c r="AL74" s="29"/>
      <c r="AM74" s="29"/>
      <c r="AN74" s="29"/>
      <c r="AO74" s="29"/>
      <c r="AP74" s="29"/>
      <c r="AQ74" s="29"/>
      <c r="AR74" s="29"/>
      <c r="AS74" s="29"/>
      <c r="AT74" s="29"/>
      <c r="AU74" s="29"/>
      <c r="AV74" s="29"/>
      <c r="AW74" s="29"/>
      <c r="AX74" s="29"/>
      <c r="AY74" s="29"/>
      <c r="AZ74" s="29"/>
      <c r="BA74" s="29"/>
      <c r="BB74" s="29"/>
    </row>
    <row r="75" spans="1:54" s="22" customFormat="1" ht="214.5" customHeight="1" x14ac:dyDescent="0.4">
      <c r="A75" s="95"/>
      <c r="B75" s="89" t="s">
        <v>64</v>
      </c>
      <c r="C75" s="24">
        <v>2019</v>
      </c>
      <c r="D75" s="24">
        <v>2027</v>
      </c>
      <c r="E75" s="21" t="s">
        <v>21</v>
      </c>
      <c r="F75" s="21" t="s">
        <v>21</v>
      </c>
      <c r="G75" s="27" t="s">
        <v>21</v>
      </c>
      <c r="H75" s="28" t="s">
        <v>21</v>
      </c>
      <c r="I75" s="27" t="s">
        <v>21</v>
      </c>
      <c r="J75" s="27" t="s">
        <v>21</v>
      </c>
      <c r="K75" s="27" t="s">
        <v>21</v>
      </c>
      <c r="L75" s="27" t="s">
        <v>21</v>
      </c>
      <c r="M75" s="125" t="s">
        <v>21</v>
      </c>
      <c r="N75" s="28" t="s">
        <v>21</v>
      </c>
      <c r="O75" s="28" t="s">
        <v>21</v>
      </c>
      <c r="P75" s="27" t="s">
        <v>21</v>
      </c>
      <c r="Q75" s="89"/>
      <c r="R75" s="89"/>
      <c r="S75" s="89"/>
      <c r="T75" s="89"/>
      <c r="U75" s="89"/>
      <c r="V75" s="89"/>
      <c r="W75" s="89"/>
      <c r="X75" s="89"/>
      <c r="Y75" s="89"/>
      <c r="Z75" s="97"/>
      <c r="AA75" s="97"/>
      <c r="AB75" s="97"/>
      <c r="AC75" s="29"/>
      <c r="AD75" s="29"/>
      <c r="AE75" s="29"/>
      <c r="AF75" s="29"/>
      <c r="AG75" s="29"/>
      <c r="AH75" s="29"/>
      <c r="AI75" s="29"/>
      <c r="AJ75" s="29"/>
      <c r="AK75" s="29"/>
      <c r="AL75" s="29"/>
      <c r="AM75" s="29"/>
      <c r="AN75" s="29"/>
      <c r="AO75" s="29"/>
      <c r="AP75" s="29"/>
      <c r="AQ75" s="29"/>
      <c r="AR75" s="29"/>
      <c r="AS75" s="29"/>
      <c r="AT75" s="29"/>
      <c r="AU75" s="29"/>
      <c r="AV75" s="29"/>
      <c r="AW75" s="29"/>
      <c r="AX75" s="29"/>
      <c r="AY75" s="29"/>
      <c r="AZ75" s="29"/>
      <c r="BA75" s="29"/>
      <c r="BB75" s="29"/>
    </row>
    <row r="76" spans="1:54" s="22" customFormat="1" ht="136.5" customHeight="1" x14ac:dyDescent="0.4">
      <c r="A76" s="208"/>
      <c r="B76" s="154" t="s">
        <v>65</v>
      </c>
      <c r="C76" s="198"/>
      <c r="D76" s="198"/>
      <c r="E76" s="157" t="s">
        <v>40</v>
      </c>
      <c r="F76" s="98" t="s">
        <v>26</v>
      </c>
      <c r="G76" s="106">
        <f t="shared" ref="G76:P76" si="18">G77+G78</f>
        <v>274079690.81</v>
      </c>
      <c r="H76" s="106">
        <f t="shared" si="18"/>
        <v>30441009.300000001</v>
      </c>
      <c r="I76" s="106">
        <f t="shared" si="18"/>
        <v>29486832.310000002</v>
      </c>
      <c r="J76" s="106">
        <f t="shared" si="18"/>
        <v>30658639.299999997</v>
      </c>
      <c r="K76" s="106">
        <f t="shared" si="18"/>
        <v>40799520.370000005</v>
      </c>
      <c r="L76" s="106">
        <f t="shared" si="18"/>
        <v>46312638.769999996</v>
      </c>
      <c r="M76" s="127">
        <f t="shared" si="18"/>
        <v>52203279.93</v>
      </c>
      <c r="N76" s="137">
        <f t="shared" si="18"/>
        <v>44177770.829999998</v>
      </c>
      <c r="O76" s="139">
        <f t="shared" si="18"/>
        <v>45238852.810000002</v>
      </c>
      <c r="P76" s="106">
        <f t="shared" si="18"/>
        <v>23850269.809999999</v>
      </c>
      <c r="Q76" s="157" t="s">
        <v>66</v>
      </c>
      <c r="R76" s="157" t="s">
        <v>38</v>
      </c>
      <c r="S76" s="157"/>
      <c r="T76" s="240">
        <v>0.1</v>
      </c>
      <c r="U76" s="240">
        <v>0.1</v>
      </c>
      <c r="V76" s="240">
        <v>0.1</v>
      </c>
      <c r="W76" s="240">
        <v>0.1</v>
      </c>
      <c r="X76" s="240">
        <v>0.1</v>
      </c>
      <c r="Y76" s="240">
        <v>0.1</v>
      </c>
      <c r="Z76" s="243">
        <v>0.1</v>
      </c>
      <c r="AA76" s="243">
        <v>0.1</v>
      </c>
      <c r="AB76" s="243">
        <v>0.1</v>
      </c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29"/>
      <c r="AS76" s="29"/>
      <c r="AT76" s="29"/>
      <c r="AU76" s="29"/>
      <c r="AV76" s="29"/>
      <c r="AW76" s="29"/>
      <c r="AX76" s="29"/>
      <c r="AY76" s="29"/>
      <c r="AZ76" s="29"/>
      <c r="BA76" s="29"/>
      <c r="BB76" s="29"/>
    </row>
    <row r="77" spans="1:54" s="22" customFormat="1" ht="282.75" customHeight="1" x14ac:dyDescent="0.4">
      <c r="A77" s="208"/>
      <c r="B77" s="155"/>
      <c r="C77" s="199"/>
      <c r="D77" s="199"/>
      <c r="E77" s="158"/>
      <c r="F77" s="89" t="s">
        <v>32</v>
      </c>
      <c r="G77" s="27">
        <f>H77+I77+J77+K77+L77+M77+N77</f>
        <v>66252274.240000002</v>
      </c>
      <c r="H77" s="28">
        <f>H80+H84+H87+H90+H93+H97+H103+H106+H109</f>
        <v>12522553.68</v>
      </c>
      <c r="I77" s="28">
        <f>I80+I84+I87+I90+I93+I97+I103+I106+I109</f>
        <v>6524763.9199999999</v>
      </c>
      <c r="J77" s="28">
        <f>J80+J84+J87+J90+J93+J97+J103+J106+J109+J112+J116+J119</f>
        <v>3794775.7699999996</v>
      </c>
      <c r="K77" s="28">
        <f>K80+K84+K87+K90+K93+K97+K103+K106+K109+K112+K116+K119</f>
        <v>10899986.57</v>
      </c>
      <c r="L77" s="28">
        <f>L80+L84+L87+L90+L93+L97+L103+L106+L109+L112+L116+L119+L122+L125</f>
        <v>11114251.370000001</v>
      </c>
      <c r="M77" s="125">
        <f t="shared" ref="M77:P78" si="19">M80+M84+M87+M90+M93+M97+M103+M106+M109+M112+M116+M119</f>
        <v>14441004.65</v>
      </c>
      <c r="N77" s="28">
        <f t="shared" si="19"/>
        <v>6954938.2800000012</v>
      </c>
      <c r="O77" s="28">
        <f t="shared" si="19"/>
        <v>23849399.809999999</v>
      </c>
      <c r="P77" s="28">
        <f t="shared" si="19"/>
        <v>23850269.809999999</v>
      </c>
      <c r="Q77" s="158"/>
      <c r="R77" s="158"/>
      <c r="S77" s="158"/>
      <c r="T77" s="241"/>
      <c r="U77" s="241"/>
      <c r="V77" s="241"/>
      <c r="W77" s="241"/>
      <c r="X77" s="241"/>
      <c r="Y77" s="241"/>
      <c r="Z77" s="244"/>
      <c r="AA77" s="244"/>
      <c r="AB77" s="244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29"/>
      <c r="AQ77" s="29"/>
      <c r="AR77" s="29"/>
      <c r="AS77" s="29"/>
      <c r="AT77" s="29"/>
      <c r="AU77" s="29"/>
      <c r="AV77" s="29"/>
      <c r="AW77" s="29"/>
      <c r="AX77" s="29"/>
      <c r="AY77" s="29"/>
      <c r="AZ77" s="29"/>
      <c r="BA77" s="29"/>
      <c r="BB77" s="29"/>
    </row>
    <row r="78" spans="1:54" s="22" customFormat="1" ht="174" customHeight="1" x14ac:dyDescent="0.4">
      <c r="A78" s="208"/>
      <c r="B78" s="156"/>
      <c r="C78" s="200"/>
      <c r="D78" s="200"/>
      <c r="E78" s="159"/>
      <c r="F78" s="89" t="s">
        <v>33</v>
      </c>
      <c r="G78" s="27">
        <f>H78+I78+J78+K78+L78+M78+N78</f>
        <v>207827416.56999999</v>
      </c>
      <c r="H78" s="28">
        <f>H81+H85+H88+H91+H94+H98+H104+H107+H110</f>
        <v>17918455.620000001</v>
      </c>
      <c r="I78" s="28">
        <f>I81+I85+I88+I91+I94+I98+I104+I107+I110</f>
        <v>22962068.390000004</v>
      </c>
      <c r="J78" s="28">
        <f>J81+J85+J88+J91+J94+J98+J104+J107+J110+J113+J117+J120</f>
        <v>26863863.529999997</v>
      </c>
      <c r="K78" s="28">
        <f>K81+K85+K88+K91+K94+K98+K104+K107+K110+K113+K117+K120</f>
        <v>29899533.800000001</v>
      </c>
      <c r="L78" s="28">
        <f>L81+L85+L88+L91+L94+L98+L104+L107+L110+L113+L117+L120+L123+L126</f>
        <v>35198387.399999999</v>
      </c>
      <c r="M78" s="125">
        <f t="shared" si="19"/>
        <v>37762275.280000001</v>
      </c>
      <c r="N78" s="28">
        <f t="shared" si="19"/>
        <v>37222832.549999997</v>
      </c>
      <c r="O78" s="28">
        <f t="shared" si="19"/>
        <v>21389453</v>
      </c>
      <c r="P78" s="28">
        <f t="shared" si="19"/>
        <v>0</v>
      </c>
      <c r="Q78" s="159"/>
      <c r="R78" s="159"/>
      <c r="S78" s="159"/>
      <c r="T78" s="242"/>
      <c r="U78" s="242"/>
      <c r="V78" s="242"/>
      <c r="W78" s="242"/>
      <c r="X78" s="242"/>
      <c r="Y78" s="242"/>
      <c r="Z78" s="245"/>
      <c r="AA78" s="245"/>
      <c r="AB78" s="245"/>
      <c r="AC78" s="29"/>
      <c r="AD78" s="29"/>
      <c r="AE78" s="29"/>
      <c r="AF78" s="29"/>
      <c r="AG78" s="29"/>
      <c r="AH78" s="29"/>
      <c r="AI78" s="29"/>
      <c r="AJ78" s="29"/>
      <c r="AK78" s="29"/>
      <c r="AL78" s="29"/>
      <c r="AM78" s="29"/>
      <c r="AN78" s="29"/>
      <c r="AO78" s="29"/>
      <c r="AP78" s="29"/>
      <c r="AQ78" s="29"/>
      <c r="AR78" s="29"/>
      <c r="AS78" s="29"/>
      <c r="AT78" s="29"/>
      <c r="AU78" s="29"/>
      <c r="AV78" s="29"/>
      <c r="AW78" s="29"/>
      <c r="AX78" s="29"/>
      <c r="AY78" s="29"/>
      <c r="AZ78" s="29"/>
      <c r="BA78" s="29"/>
      <c r="BB78" s="29"/>
    </row>
    <row r="79" spans="1:54" s="22" customFormat="1" ht="115.5" customHeight="1" x14ac:dyDescent="0.4">
      <c r="A79" s="208"/>
      <c r="B79" s="157" t="s">
        <v>67</v>
      </c>
      <c r="C79" s="198"/>
      <c r="D79" s="198"/>
      <c r="E79" s="198"/>
      <c r="F79" s="98" t="s">
        <v>26</v>
      </c>
      <c r="G79" s="106">
        <f t="shared" ref="G79:P79" si="20">G80+G81</f>
        <v>0</v>
      </c>
      <c r="H79" s="106">
        <f t="shared" si="20"/>
        <v>0</v>
      </c>
      <c r="I79" s="106">
        <f t="shared" si="20"/>
        <v>0</v>
      </c>
      <c r="J79" s="106">
        <f t="shared" si="20"/>
        <v>0</v>
      </c>
      <c r="K79" s="106">
        <f t="shared" si="20"/>
        <v>0</v>
      </c>
      <c r="L79" s="106">
        <f t="shared" si="20"/>
        <v>0</v>
      </c>
      <c r="M79" s="127">
        <f t="shared" si="20"/>
        <v>0</v>
      </c>
      <c r="N79" s="137">
        <f t="shared" si="20"/>
        <v>0</v>
      </c>
      <c r="O79" s="139">
        <f t="shared" si="20"/>
        <v>0</v>
      </c>
      <c r="P79" s="106">
        <f t="shared" si="20"/>
        <v>0</v>
      </c>
      <c r="R79" s="157"/>
      <c r="S79" s="157"/>
      <c r="T79" s="234"/>
      <c r="U79" s="234"/>
      <c r="V79" s="234"/>
      <c r="W79" s="234"/>
      <c r="X79" s="234"/>
      <c r="Y79" s="234"/>
      <c r="Z79" s="237"/>
      <c r="AA79" s="108"/>
      <c r="AB79" s="237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</row>
    <row r="80" spans="1:54" s="22" customFormat="1" ht="223.5" customHeight="1" x14ac:dyDescent="0.4">
      <c r="A80" s="208"/>
      <c r="B80" s="158"/>
      <c r="C80" s="199"/>
      <c r="D80" s="199"/>
      <c r="E80" s="199"/>
      <c r="F80" s="89" t="s">
        <v>32</v>
      </c>
      <c r="G80" s="27">
        <f>H80+I80+J80+K80+L80+M80+N80</f>
        <v>0</v>
      </c>
      <c r="H80" s="28">
        <v>0</v>
      </c>
      <c r="I80" s="27">
        <v>0</v>
      </c>
      <c r="J80" s="27">
        <v>0</v>
      </c>
      <c r="K80" s="27">
        <v>0</v>
      </c>
      <c r="L80" s="27">
        <v>0</v>
      </c>
      <c r="M80" s="125">
        <v>0</v>
      </c>
      <c r="N80" s="28">
        <v>0</v>
      </c>
      <c r="O80" s="27">
        <v>0</v>
      </c>
      <c r="P80" s="27">
        <v>0</v>
      </c>
      <c r="R80" s="158"/>
      <c r="S80" s="158"/>
      <c r="T80" s="235"/>
      <c r="U80" s="235"/>
      <c r="V80" s="235"/>
      <c r="W80" s="235"/>
      <c r="X80" s="235"/>
      <c r="Y80" s="235"/>
      <c r="Z80" s="238"/>
      <c r="AA80" s="109"/>
      <c r="AB80" s="238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</row>
    <row r="81" spans="1:54" s="22" customFormat="1" ht="174" customHeight="1" x14ac:dyDescent="0.4">
      <c r="A81" s="208"/>
      <c r="B81" s="159"/>
      <c r="C81" s="200"/>
      <c r="D81" s="200"/>
      <c r="E81" s="200"/>
      <c r="F81" s="89" t="s">
        <v>33</v>
      </c>
      <c r="G81" s="27">
        <f>H81+I81+J81+K81+L81+M81+N81</f>
        <v>0</v>
      </c>
      <c r="H81" s="28" t="s">
        <v>35</v>
      </c>
      <c r="I81" s="27" t="s">
        <v>35</v>
      </c>
      <c r="J81" s="27" t="s">
        <v>35</v>
      </c>
      <c r="K81" s="27" t="s">
        <v>35</v>
      </c>
      <c r="L81" s="27" t="s">
        <v>35</v>
      </c>
      <c r="M81" s="125" t="s">
        <v>35</v>
      </c>
      <c r="N81" s="28" t="s">
        <v>35</v>
      </c>
      <c r="O81" s="27">
        <v>0</v>
      </c>
      <c r="P81" s="27" t="s">
        <v>35</v>
      </c>
      <c r="R81" s="159"/>
      <c r="S81" s="159"/>
      <c r="T81" s="236"/>
      <c r="U81" s="236"/>
      <c r="V81" s="236"/>
      <c r="W81" s="236"/>
      <c r="X81" s="236"/>
      <c r="Y81" s="236"/>
      <c r="Z81" s="239"/>
      <c r="AA81" s="110"/>
      <c r="AB81" s="239"/>
      <c r="AC81" s="29"/>
      <c r="AD81" s="29"/>
      <c r="AE81" s="29"/>
      <c r="AF81" s="29"/>
      <c r="AG81" s="29"/>
      <c r="AH81" s="29"/>
      <c r="AI81" s="29"/>
      <c r="AJ81" s="29"/>
      <c r="AK81" s="29"/>
      <c r="AL81" s="29"/>
      <c r="AM81" s="29"/>
      <c r="AN81" s="29"/>
      <c r="AO81" s="29"/>
      <c r="AP81" s="29"/>
      <c r="AQ81" s="29"/>
      <c r="AR81" s="29"/>
      <c r="AS81" s="29"/>
      <c r="AT81" s="29"/>
      <c r="AU81" s="29"/>
      <c r="AV81" s="29"/>
      <c r="AW81" s="29"/>
      <c r="AX81" s="29"/>
      <c r="AY81" s="29"/>
      <c r="AZ81" s="29"/>
      <c r="BA81" s="29"/>
      <c r="BB81" s="29"/>
    </row>
    <row r="82" spans="1:54" s="22" customFormat="1" ht="102" customHeight="1" x14ac:dyDescent="0.4">
      <c r="A82" s="208"/>
      <c r="B82" s="157" t="s">
        <v>68</v>
      </c>
      <c r="C82" s="198"/>
      <c r="D82" s="198"/>
      <c r="E82" s="198"/>
      <c r="F82" s="157" t="s">
        <v>26</v>
      </c>
      <c r="G82" s="232">
        <f t="shared" ref="G82:P82" si="21">G84+G85</f>
        <v>681517.33000000007</v>
      </c>
      <c r="H82" s="232">
        <f t="shared" si="21"/>
        <v>106211.2</v>
      </c>
      <c r="I82" s="232">
        <f t="shared" si="21"/>
        <v>0</v>
      </c>
      <c r="J82" s="232">
        <f t="shared" si="21"/>
        <v>85306.13</v>
      </c>
      <c r="K82" s="232">
        <f t="shared" si="21"/>
        <v>60000</v>
      </c>
      <c r="L82" s="232">
        <f t="shared" si="21"/>
        <v>120000</v>
      </c>
      <c r="M82" s="233">
        <f t="shared" si="21"/>
        <v>150000</v>
      </c>
      <c r="N82" s="231">
        <f t="shared" si="21"/>
        <v>160000</v>
      </c>
      <c r="O82" s="139">
        <f>O84+O85</f>
        <v>0</v>
      </c>
      <c r="P82" s="232">
        <f t="shared" si="21"/>
        <v>0</v>
      </c>
      <c r="Q82" s="157" t="s">
        <v>21</v>
      </c>
      <c r="R82" s="157" t="s">
        <v>21</v>
      </c>
      <c r="S82" s="157" t="s">
        <v>21</v>
      </c>
      <c r="T82" s="157" t="s">
        <v>21</v>
      </c>
      <c r="U82" s="157" t="s">
        <v>21</v>
      </c>
      <c r="V82" s="157" t="s">
        <v>21</v>
      </c>
      <c r="W82" s="157" t="s">
        <v>21</v>
      </c>
      <c r="X82" s="157" t="s">
        <v>21</v>
      </c>
      <c r="Y82" s="157" t="s">
        <v>21</v>
      </c>
      <c r="Z82" s="201" t="s">
        <v>21</v>
      </c>
      <c r="AA82" s="201" t="s">
        <v>21</v>
      </c>
      <c r="AB82" s="201" t="s">
        <v>21</v>
      </c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</row>
    <row r="83" spans="1:54" s="22" customFormat="1" ht="28.5" hidden="1" customHeight="1" x14ac:dyDescent="0.4">
      <c r="A83" s="208"/>
      <c r="B83" s="158"/>
      <c r="C83" s="199"/>
      <c r="D83" s="199"/>
      <c r="E83" s="199"/>
      <c r="F83" s="159"/>
      <c r="G83" s="221"/>
      <c r="H83" s="221"/>
      <c r="I83" s="221"/>
      <c r="J83" s="221"/>
      <c r="K83" s="221"/>
      <c r="L83" s="221"/>
      <c r="M83" s="217"/>
      <c r="N83" s="219"/>
      <c r="O83" s="140"/>
      <c r="P83" s="221"/>
      <c r="Q83" s="158"/>
      <c r="R83" s="158"/>
      <c r="S83" s="158"/>
      <c r="T83" s="158"/>
      <c r="U83" s="158"/>
      <c r="V83" s="158"/>
      <c r="W83" s="158"/>
      <c r="X83" s="158"/>
      <c r="Y83" s="158"/>
      <c r="Z83" s="205"/>
      <c r="AA83" s="205"/>
      <c r="AB83" s="205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29"/>
      <c r="AS83" s="29"/>
      <c r="AT83" s="29"/>
      <c r="AU83" s="29"/>
      <c r="AV83" s="29"/>
      <c r="AW83" s="29"/>
      <c r="AX83" s="29"/>
      <c r="AY83" s="29"/>
      <c r="AZ83" s="29"/>
      <c r="BA83" s="29"/>
      <c r="BB83" s="29"/>
    </row>
    <row r="84" spans="1:54" s="22" customFormat="1" ht="219" customHeight="1" x14ac:dyDescent="0.4">
      <c r="A84" s="208"/>
      <c r="B84" s="158"/>
      <c r="C84" s="199"/>
      <c r="D84" s="199"/>
      <c r="E84" s="199"/>
      <c r="F84" s="89" t="s">
        <v>32</v>
      </c>
      <c r="G84" s="27">
        <f>H84+I84+J84+K84+L84+M84+N84</f>
        <v>681517.33000000007</v>
      </c>
      <c r="H84" s="28">
        <v>106211.2</v>
      </c>
      <c r="I84" s="27">
        <v>0</v>
      </c>
      <c r="J84" s="27">
        <f>150000-14286-20410-30000+2.13-25355.39+25355.39</f>
        <v>85306.13</v>
      </c>
      <c r="K84" s="27">
        <v>60000</v>
      </c>
      <c r="L84" s="27">
        <f>50000+70000</f>
        <v>120000</v>
      </c>
      <c r="M84" s="125">
        <f>50000+100000</f>
        <v>150000</v>
      </c>
      <c r="N84" s="28">
        <v>160000</v>
      </c>
      <c r="O84" s="27">
        <v>0</v>
      </c>
      <c r="P84" s="27">
        <v>0</v>
      </c>
      <c r="Q84" s="158"/>
      <c r="R84" s="158"/>
      <c r="S84" s="158"/>
      <c r="T84" s="158"/>
      <c r="U84" s="158"/>
      <c r="V84" s="158"/>
      <c r="W84" s="158"/>
      <c r="X84" s="158"/>
      <c r="Y84" s="158"/>
      <c r="Z84" s="205"/>
      <c r="AA84" s="205"/>
      <c r="AB84" s="205"/>
      <c r="AC84" s="29"/>
      <c r="AD84" s="29"/>
      <c r="AE84" s="29"/>
      <c r="AF84" s="29"/>
      <c r="AG84" s="29"/>
      <c r="AH84" s="29"/>
      <c r="AI84" s="29"/>
      <c r="AJ84" s="29"/>
      <c r="AK84" s="29"/>
      <c r="AL84" s="29"/>
      <c r="AM84" s="29"/>
      <c r="AN84" s="29"/>
      <c r="AO84" s="29"/>
      <c r="AP84" s="29"/>
      <c r="AQ84" s="29"/>
      <c r="AR84" s="29"/>
      <c r="AS84" s="29"/>
      <c r="AT84" s="29"/>
      <c r="AU84" s="29"/>
      <c r="AV84" s="29"/>
      <c r="AW84" s="29"/>
      <c r="AX84" s="29"/>
      <c r="AY84" s="29"/>
      <c r="AZ84" s="29"/>
      <c r="BA84" s="29"/>
      <c r="BB84" s="29"/>
    </row>
    <row r="85" spans="1:54" s="22" customFormat="1" ht="156.75" customHeight="1" x14ac:dyDescent="0.4">
      <c r="A85" s="208"/>
      <c r="B85" s="159"/>
      <c r="C85" s="200"/>
      <c r="D85" s="200"/>
      <c r="E85" s="200"/>
      <c r="F85" s="89" t="s">
        <v>33</v>
      </c>
      <c r="G85" s="27">
        <f>H85+I85+J85+K85+L85+M85+N85</f>
        <v>0</v>
      </c>
      <c r="H85" s="28" t="s">
        <v>35</v>
      </c>
      <c r="I85" s="27" t="s">
        <v>35</v>
      </c>
      <c r="J85" s="27" t="s">
        <v>35</v>
      </c>
      <c r="K85" s="27" t="s">
        <v>35</v>
      </c>
      <c r="L85" s="27" t="s">
        <v>35</v>
      </c>
      <c r="M85" s="125" t="s">
        <v>35</v>
      </c>
      <c r="N85" s="28" t="s">
        <v>35</v>
      </c>
      <c r="O85" s="27">
        <v>0</v>
      </c>
      <c r="P85" s="27" t="s">
        <v>35</v>
      </c>
      <c r="Q85" s="159"/>
      <c r="R85" s="159"/>
      <c r="S85" s="159"/>
      <c r="T85" s="159"/>
      <c r="U85" s="159"/>
      <c r="V85" s="159"/>
      <c r="W85" s="159"/>
      <c r="X85" s="159"/>
      <c r="Y85" s="159"/>
      <c r="Z85" s="202"/>
      <c r="AA85" s="202"/>
      <c r="AB85" s="202"/>
      <c r="AC85" s="29"/>
      <c r="AD85" s="29"/>
      <c r="AE85" s="29"/>
      <c r="AF85" s="29"/>
      <c r="AG85" s="29"/>
      <c r="AH85" s="29"/>
      <c r="AI85" s="29"/>
      <c r="AJ85" s="29"/>
      <c r="AK85" s="29"/>
      <c r="AL85" s="29"/>
      <c r="AM85" s="29"/>
      <c r="AN85" s="29"/>
      <c r="AO85" s="29"/>
      <c r="AP85" s="29"/>
      <c r="AQ85" s="29"/>
      <c r="AR85" s="29"/>
      <c r="AS85" s="29"/>
      <c r="AT85" s="29"/>
      <c r="AU85" s="29"/>
      <c r="AV85" s="29"/>
      <c r="AW85" s="29"/>
      <c r="AX85" s="29"/>
      <c r="AY85" s="29"/>
      <c r="AZ85" s="29"/>
      <c r="BA85" s="29"/>
      <c r="BB85" s="29"/>
    </row>
    <row r="86" spans="1:54" s="22" customFormat="1" ht="129" customHeight="1" x14ac:dyDescent="0.4">
      <c r="A86" s="208"/>
      <c r="B86" s="157" t="s">
        <v>69</v>
      </c>
      <c r="C86" s="198"/>
      <c r="D86" s="198"/>
      <c r="E86" s="198"/>
      <c r="F86" s="98" t="s">
        <v>26</v>
      </c>
      <c r="G86" s="106">
        <f t="shared" ref="G86:P86" si="22">G87+G88</f>
        <v>122287.8</v>
      </c>
      <c r="H86" s="106">
        <f t="shared" si="22"/>
        <v>42988.800000000003</v>
      </c>
      <c r="I86" s="106">
        <f t="shared" si="22"/>
        <v>79299</v>
      </c>
      <c r="J86" s="106">
        <f t="shared" si="22"/>
        <v>0</v>
      </c>
      <c r="K86" s="106">
        <f t="shared" si="22"/>
        <v>0</v>
      </c>
      <c r="L86" s="106">
        <f t="shared" si="22"/>
        <v>0</v>
      </c>
      <c r="M86" s="127">
        <f t="shared" si="22"/>
        <v>0</v>
      </c>
      <c r="N86" s="137">
        <f t="shared" si="22"/>
        <v>0</v>
      </c>
      <c r="O86" s="139">
        <f t="shared" si="22"/>
        <v>0</v>
      </c>
      <c r="P86" s="106">
        <f t="shared" si="22"/>
        <v>0</v>
      </c>
      <c r="Q86" s="157" t="s">
        <v>21</v>
      </c>
      <c r="R86" s="157" t="s">
        <v>21</v>
      </c>
      <c r="S86" s="157" t="s">
        <v>21</v>
      </c>
      <c r="T86" s="157" t="s">
        <v>21</v>
      </c>
      <c r="U86" s="157" t="s">
        <v>21</v>
      </c>
      <c r="V86" s="157" t="s">
        <v>21</v>
      </c>
      <c r="W86" s="157" t="s">
        <v>21</v>
      </c>
      <c r="X86" s="157" t="s">
        <v>21</v>
      </c>
      <c r="Y86" s="157" t="s">
        <v>21</v>
      </c>
      <c r="Z86" s="201" t="s">
        <v>21</v>
      </c>
      <c r="AA86" s="201" t="s">
        <v>21</v>
      </c>
      <c r="AB86" s="201" t="s">
        <v>21</v>
      </c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29"/>
      <c r="AS86" s="29"/>
      <c r="AT86" s="29"/>
      <c r="AU86" s="29"/>
      <c r="AV86" s="29"/>
      <c r="AW86" s="29"/>
      <c r="AX86" s="29"/>
      <c r="AY86" s="29"/>
      <c r="AZ86" s="29"/>
      <c r="BA86" s="29"/>
      <c r="BB86" s="29"/>
    </row>
    <row r="87" spans="1:54" s="22" customFormat="1" ht="219" customHeight="1" x14ac:dyDescent="0.4">
      <c r="A87" s="208"/>
      <c r="B87" s="158"/>
      <c r="C87" s="199"/>
      <c r="D87" s="199"/>
      <c r="E87" s="199"/>
      <c r="F87" s="89" t="s">
        <v>32</v>
      </c>
      <c r="G87" s="27">
        <f>H87+I87+J87+K87+L87+M87+N87</f>
        <v>122287.8</v>
      </c>
      <c r="H87" s="28">
        <v>42988.800000000003</v>
      </c>
      <c r="I87" s="27">
        <v>79299</v>
      </c>
      <c r="J87" s="27">
        <v>0</v>
      </c>
      <c r="K87" s="27">
        <v>0</v>
      </c>
      <c r="L87" s="27">
        <v>0</v>
      </c>
      <c r="M87" s="125">
        <v>0</v>
      </c>
      <c r="N87" s="28">
        <v>0</v>
      </c>
      <c r="O87" s="27">
        <v>0</v>
      </c>
      <c r="P87" s="27">
        <v>0</v>
      </c>
      <c r="Q87" s="158"/>
      <c r="R87" s="158"/>
      <c r="S87" s="158"/>
      <c r="T87" s="158"/>
      <c r="U87" s="158"/>
      <c r="V87" s="158"/>
      <c r="W87" s="158"/>
      <c r="X87" s="158"/>
      <c r="Y87" s="158"/>
      <c r="Z87" s="205"/>
      <c r="AA87" s="205"/>
      <c r="AB87" s="205"/>
      <c r="AC87" s="29"/>
      <c r="AD87" s="29"/>
      <c r="AE87" s="29"/>
      <c r="AF87" s="29"/>
      <c r="AG87" s="29"/>
      <c r="AH87" s="29"/>
      <c r="AI87" s="29"/>
      <c r="AJ87" s="29"/>
      <c r="AK87" s="29"/>
      <c r="AL87" s="29"/>
      <c r="AM87" s="29"/>
      <c r="AN87" s="29"/>
      <c r="AO87" s="29"/>
      <c r="AP87" s="29"/>
      <c r="AQ87" s="29"/>
      <c r="AR87" s="29"/>
      <c r="AS87" s="29"/>
      <c r="AT87" s="29"/>
      <c r="AU87" s="29"/>
      <c r="AV87" s="29"/>
      <c r="AW87" s="29"/>
      <c r="AX87" s="29"/>
      <c r="AY87" s="29"/>
      <c r="AZ87" s="29"/>
      <c r="BA87" s="29"/>
      <c r="BB87" s="29"/>
    </row>
    <row r="88" spans="1:54" s="22" customFormat="1" ht="174" customHeight="1" x14ac:dyDescent="0.4">
      <c r="A88" s="208"/>
      <c r="B88" s="159"/>
      <c r="C88" s="200"/>
      <c r="D88" s="200"/>
      <c r="E88" s="200"/>
      <c r="F88" s="89" t="s">
        <v>33</v>
      </c>
      <c r="G88" s="27">
        <f>H88+I88+J88+K88+L88+M88+N88</f>
        <v>0</v>
      </c>
      <c r="H88" s="28" t="s">
        <v>35</v>
      </c>
      <c r="I88" s="27" t="s">
        <v>35</v>
      </c>
      <c r="J88" s="27" t="s">
        <v>35</v>
      </c>
      <c r="K88" s="27" t="s">
        <v>35</v>
      </c>
      <c r="L88" s="27" t="s">
        <v>35</v>
      </c>
      <c r="M88" s="125" t="s">
        <v>35</v>
      </c>
      <c r="N88" s="28" t="s">
        <v>35</v>
      </c>
      <c r="O88" s="27">
        <v>0</v>
      </c>
      <c r="P88" s="27" t="s">
        <v>35</v>
      </c>
      <c r="Q88" s="159"/>
      <c r="R88" s="159"/>
      <c r="S88" s="159"/>
      <c r="T88" s="159"/>
      <c r="U88" s="159"/>
      <c r="V88" s="159"/>
      <c r="W88" s="159"/>
      <c r="X88" s="159"/>
      <c r="Y88" s="159"/>
      <c r="Z88" s="202"/>
      <c r="AA88" s="202"/>
      <c r="AB88" s="202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29"/>
      <c r="AS88" s="29"/>
      <c r="AT88" s="29"/>
      <c r="AU88" s="29"/>
      <c r="AV88" s="29"/>
      <c r="AW88" s="29"/>
      <c r="AX88" s="29"/>
      <c r="AY88" s="29"/>
      <c r="AZ88" s="29"/>
      <c r="BA88" s="29"/>
      <c r="BB88" s="29"/>
    </row>
    <row r="89" spans="1:54" s="22" customFormat="1" ht="112.5" customHeight="1" x14ac:dyDescent="0.4">
      <c r="A89" s="208"/>
      <c r="B89" s="157" t="s">
        <v>70</v>
      </c>
      <c r="C89" s="198"/>
      <c r="D89" s="198"/>
      <c r="E89" s="198"/>
      <c r="F89" s="98" t="s">
        <v>26</v>
      </c>
      <c r="G89" s="106">
        <f t="shared" ref="G89:P89" si="23">G90+G91</f>
        <v>98000</v>
      </c>
      <c r="H89" s="106">
        <f t="shared" si="23"/>
        <v>14000</v>
      </c>
      <c r="I89" s="106">
        <f t="shared" si="23"/>
        <v>14000</v>
      </c>
      <c r="J89" s="106">
        <f t="shared" si="23"/>
        <v>14000</v>
      </c>
      <c r="K89" s="106">
        <f t="shared" si="23"/>
        <v>14000</v>
      </c>
      <c r="L89" s="106">
        <f t="shared" si="23"/>
        <v>14000</v>
      </c>
      <c r="M89" s="127">
        <f t="shared" si="23"/>
        <v>14000</v>
      </c>
      <c r="N89" s="137">
        <f t="shared" si="23"/>
        <v>14000</v>
      </c>
      <c r="O89" s="139">
        <f t="shared" si="23"/>
        <v>14000</v>
      </c>
      <c r="P89" s="106">
        <f t="shared" si="23"/>
        <v>14000</v>
      </c>
      <c r="Q89" s="157" t="s">
        <v>21</v>
      </c>
      <c r="R89" s="157" t="s">
        <v>21</v>
      </c>
      <c r="S89" s="157" t="s">
        <v>21</v>
      </c>
      <c r="T89" s="157" t="s">
        <v>21</v>
      </c>
      <c r="U89" s="157" t="s">
        <v>21</v>
      </c>
      <c r="V89" s="157" t="s">
        <v>21</v>
      </c>
      <c r="W89" s="157" t="s">
        <v>21</v>
      </c>
      <c r="X89" s="157" t="s">
        <v>21</v>
      </c>
      <c r="Y89" s="157" t="s">
        <v>21</v>
      </c>
      <c r="Z89" s="201" t="s">
        <v>21</v>
      </c>
      <c r="AA89" s="201" t="s">
        <v>21</v>
      </c>
      <c r="AB89" s="201" t="s">
        <v>21</v>
      </c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</row>
    <row r="90" spans="1:54" s="22" customFormat="1" ht="234" customHeight="1" x14ac:dyDescent="0.4">
      <c r="A90" s="208"/>
      <c r="B90" s="158"/>
      <c r="C90" s="199"/>
      <c r="D90" s="199"/>
      <c r="E90" s="199"/>
      <c r="F90" s="89" t="s">
        <v>32</v>
      </c>
      <c r="G90" s="27">
        <f>H90+I90+J90+K90+L90+N90+M90</f>
        <v>98000</v>
      </c>
      <c r="H90" s="28">
        <v>14000</v>
      </c>
      <c r="I90" s="27">
        <v>14000</v>
      </c>
      <c r="J90" s="27">
        <v>14000</v>
      </c>
      <c r="K90" s="27">
        <v>14000</v>
      </c>
      <c r="L90" s="27">
        <v>14000</v>
      </c>
      <c r="M90" s="125">
        <v>14000</v>
      </c>
      <c r="N90" s="28">
        <v>14000</v>
      </c>
      <c r="O90" s="27">
        <v>14000</v>
      </c>
      <c r="P90" s="27">
        <v>14000</v>
      </c>
      <c r="Q90" s="158"/>
      <c r="R90" s="158"/>
      <c r="S90" s="158"/>
      <c r="T90" s="158"/>
      <c r="U90" s="158"/>
      <c r="V90" s="158"/>
      <c r="W90" s="158"/>
      <c r="X90" s="158"/>
      <c r="Y90" s="158"/>
      <c r="Z90" s="205"/>
      <c r="AA90" s="205"/>
      <c r="AB90" s="205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9"/>
      <c r="AR90" s="29"/>
      <c r="AS90" s="29"/>
      <c r="AT90" s="29"/>
      <c r="AU90" s="29"/>
      <c r="AV90" s="29"/>
      <c r="AW90" s="29"/>
      <c r="AX90" s="29"/>
      <c r="AY90" s="29"/>
      <c r="AZ90" s="29"/>
      <c r="BA90" s="29"/>
      <c r="BB90" s="29"/>
    </row>
    <row r="91" spans="1:54" s="22" customFormat="1" ht="143.25" customHeight="1" x14ac:dyDescent="0.4">
      <c r="A91" s="208"/>
      <c r="B91" s="159"/>
      <c r="C91" s="200"/>
      <c r="D91" s="200"/>
      <c r="E91" s="200"/>
      <c r="F91" s="89" t="s">
        <v>33</v>
      </c>
      <c r="G91" s="27">
        <f>H91+I91+J91+K91+L91+N91+M91</f>
        <v>0</v>
      </c>
      <c r="H91" s="28" t="s">
        <v>35</v>
      </c>
      <c r="I91" s="27" t="s">
        <v>35</v>
      </c>
      <c r="J91" s="27" t="s">
        <v>35</v>
      </c>
      <c r="K91" s="27" t="s">
        <v>35</v>
      </c>
      <c r="L91" s="27" t="s">
        <v>35</v>
      </c>
      <c r="M91" s="125" t="s">
        <v>35</v>
      </c>
      <c r="N91" s="28" t="s">
        <v>35</v>
      </c>
      <c r="O91" s="27">
        <v>0</v>
      </c>
      <c r="P91" s="27" t="s">
        <v>35</v>
      </c>
      <c r="Q91" s="159"/>
      <c r="R91" s="159"/>
      <c r="S91" s="159"/>
      <c r="T91" s="159"/>
      <c r="U91" s="159"/>
      <c r="V91" s="159"/>
      <c r="W91" s="159"/>
      <c r="X91" s="159"/>
      <c r="Y91" s="159"/>
      <c r="Z91" s="202"/>
      <c r="AA91" s="202"/>
      <c r="AB91" s="202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29"/>
      <c r="AS91" s="29"/>
      <c r="AT91" s="29"/>
      <c r="AU91" s="29"/>
      <c r="AV91" s="29"/>
      <c r="AW91" s="29"/>
      <c r="AX91" s="29"/>
      <c r="AY91" s="29"/>
      <c r="AZ91" s="29"/>
      <c r="BA91" s="29"/>
      <c r="BB91" s="29"/>
    </row>
    <row r="92" spans="1:54" s="22" customFormat="1" ht="105.75" customHeight="1" x14ac:dyDescent="0.4">
      <c r="A92" s="208"/>
      <c r="B92" s="157" t="s">
        <v>71</v>
      </c>
      <c r="C92" s="198"/>
      <c r="D92" s="198"/>
      <c r="E92" s="198"/>
      <c r="F92" s="98" t="s">
        <v>26</v>
      </c>
      <c r="G92" s="106">
        <f t="shared" ref="G92:P92" si="24">G93+G94</f>
        <v>114652.6</v>
      </c>
      <c r="H92" s="106">
        <f t="shared" si="24"/>
        <v>0</v>
      </c>
      <c r="I92" s="106">
        <f t="shared" si="24"/>
        <v>0</v>
      </c>
      <c r="J92" s="106">
        <f t="shared" si="24"/>
        <v>0</v>
      </c>
      <c r="K92" s="106">
        <f t="shared" si="24"/>
        <v>0</v>
      </c>
      <c r="L92" s="106">
        <f t="shared" si="24"/>
        <v>0</v>
      </c>
      <c r="M92" s="127">
        <f t="shared" si="24"/>
        <v>0</v>
      </c>
      <c r="N92" s="137">
        <f t="shared" si="24"/>
        <v>114652.6</v>
      </c>
      <c r="O92" s="139">
        <f t="shared" si="24"/>
        <v>0</v>
      </c>
      <c r="P92" s="106">
        <f t="shared" si="24"/>
        <v>0</v>
      </c>
      <c r="Q92" s="157" t="s">
        <v>152</v>
      </c>
      <c r="R92" s="157" t="s">
        <v>50</v>
      </c>
      <c r="S92" s="157"/>
      <c r="T92" s="157" t="s">
        <v>48</v>
      </c>
      <c r="U92" s="157" t="s">
        <v>48</v>
      </c>
      <c r="V92" s="157" t="s">
        <v>48</v>
      </c>
      <c r="W92" s="157" t="s">
        <v>48</v>
      </c>
      <c r="X92" s="157" t="s">
        <v>48</v>
      </c>
      <c r="Y92" s="157" t="s">
        <v>48</v>
      </c>
      <c r="Z92" s="201">
        <v>1</v>
      </c>
      <c r="AA92" s="201" t="s">
        <v>48</v>
      </c>
      <c r="AB92" s="201" t="s">
        <v>48</v>
      </c>
      <c r="AC92" s="29"/>
      <c r="AD92" s="29"/>
      <c r="AE92" s="29"/>
      <c r="AF92" s="29"/>
      <c r="AG92" s="29"/>
      <c r="AH92" s="29"/>
      <c r="AI92" s="29"/>
      <c r="AJ92" s="29"/>
      <c r="AK92" s="29"/>
      <c r="AL92" s="29"/>
      <c r="AM92" s="29"/>
      <c r="AN92" s="29"/>
      <c r="AO92" s="29"/>
      <c r="AP92" s="29"/>
      <c r="AQ92" s="29"/>
      <c r="AR92" s="29"/>
      <c r="AS92" s="29"/>
      <c r="AT92" s="29"/>
      <c r="AU92" s="29"/>
      <c r="AV92" s="29"/>
      <c r="AW92" s="29"/>
      <c r="AX92" s="29"/>
      <c r="AY92" s="29"/>
      <c r="AZ92" s="29"/>
      <c r="BA92" s="29"/>
      <c r="BB92" s="29"/>
    </row>
    <row r="93" spans="1:54" s="22" customFormat="1" ht="246" customHeight="1" x14ac:dyDescent="0.4">
      <c r="A93" s="208"/>
      <c r="B93" s="158"/>
      <c r="C93" s="199"/>
      <c r="D93" s="199"/>
      <c r="E93" s="199"/>
      <c r="F93" s="89" t="s">
        <v>32</v>
      </c>
      <c r="G93" s="27">
        <f>SUM(H93:N93)</f>
        <v>2293.0500000000002</v>
      </c>
      <c r="H93" s="28">
        <v>0</v>
      </c>
      <c r="I93" s="27">
        <v>0</v>
      </c>
      <c r="J93" s="27">
        <v>0</v>
      </c>
      <c r="K93" s="27">
        <v>0</v>
      </c>
      <c r="L93" s="27">
        <v>0</v>
      </c>
      <c r="M93" s="125">
        <v>0</v>
      </c>
      <c r="N93" s="28">
        <v>2293.0500000000002</v>
      </c>
      <c r="O93" s="27">
        <v>0</v>
      </c>
      <c r="P93" s="27">
        <v>0</v>
      </c>
      <c r="Q93" s="158"/>
      <c r="R93" s="158"/>
      <c r="S93" s="158"/>
      <c r="T93" s="158"/>
      <c r="U93" s="158"/>
      <c r="V93" s="158"/>
      <c r="W93" s="158"/>
      <c r="X93" s="158"/>
      <c r="Y93" s="158"/>
      <c r="Z93" s="205"/>
      <c r="AA93" s="205"/>
      <c r="AB93" s="205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29"/>
      <c r="AS93" s="29"/>
      <c r="AT93" s="29"/>
      <c r="AU93" s="29"/>
      <c r="AV93" s="29"/>
      <c r="AW93" s="29"/>
      <c r="AX93" s="29"/>
      <c r="AY93" s="29"/>
      <c r="AZ93" s="29"/>
      <c r="BA93" s="29"/>
      <c r="BB93" s="29"/>
    </row>
    <row r="94" spans="1:54" s="22" customFormat="1" ht="174" customHeight="1" x14ac:dyDescent="0.4">
      <c r="A94" s="208"/>
      <c r="B94" s="159"/>
      <c r="C94" s="200"/>
      <c r="D94" s="200"/>
      <c r="E94" s="200"/>
      <c r="F94" s="89" t="s">
        <v>33</v>
      </c>
      <c r="G94" s="27">
        <f>SUM(H94:N94)</f>
        <v>112359.55</v>
      </c>
      <c r="H94" s="28">
        <v>0</v>
      </c>
      <c r="I94" s="27">
        <v>0</v>
      </c>
      <c r="J94" s="27">
        <v>0</v>
      </c>
      <c r="K94" s="27">
        <v>0</v>
      </c>
      <c r="L94" s="27">
        <v>0</v>
      </c>
      <c r="M94" s="125">
        <v>0</v>
      </c>
      <c r="N94" s="28">
        <v>112359.55</v>
      </c>
      <c r="O94" s="27">
        <v>0</v>
      </c>
      <c r="P94" s="27" t="s">
        <v>35</v>
      </c>
      <c r="Q94" s="159"/>
      <c r="R94" s="159"/>
      <c r="S94" s="159"/>
      <c r="T94" s="159"/>
      <c r="U94" s="159"/>
      <c r="V94" s="159"/>
      <c r="W94" s="159"/>
      <c r="X94" s="159"/>
      <c r="Y94" s="159"/>
      <c r="Z94" s="202"/>
      <c r="AA94" s="202"/>
      <c r="AB94" s="202"/>
      <c r="AC94" s="29"/>
      <c r="AD94" s="29"/>
      <c r="AE94" s="29"/>
      <c r="AF94" s="29"/>
      <c r="AG94" s="29"/>
      <c r="AH94" s="29"/>
      <c r="AI94" s="29"/>
      <c r="AJ94" s="29"/>
      <c r="AK94" s="29"/>
      <c r="AL94" s="29"/>
      <c r="AM94" s="29"/>
      <c r="AN94" s="29"/>
      <c r="AO94" s="29"/>
      <c r="AP94" s="29"/>
      <c r="AQ94" s="29"/>
      <c r="AR94" s="29"/>
      <c r="AS94" s="29"/>
      <c r="AT94" s="29"/>
      <c r="AU94" s="29"/>
      <c r="AV94" s="29"/>
      <c r="AW94" s="29"/>
      <c r="AX94" s="29"/>
      <c r="AY94" s="29"/>
      <c r="AZ94" s="29"/>
      <c r="BA94" s="29"/>
      <c r="BB94" s="29"/>
    </row>
    <row r="95" spans="1:54" s="22" customFormat="1" ht="100.5" customHeight="1" x14ac:dyDescent="0.4">
      <c r="A95" s="208"/>
      <c r="B95" s="157" t="s">
        <v>72</v>
      </c>
      <c r="C95" s="198"/>
      <c r="D95" s="198"/>
      <c r="E95" s="198"/>
      <c r="F95" s="89" t="s">
        <v>26</v>
      </c>
      <c r="G95" s="27">
        <f t="shared" ref="G95:P95" si="25">G97+G98</f>
        <v>256973984.80000001</v>
      </c>
      <c r="H95" s="27">
        <f t="shared" si="25"/>
        <v>27995091.399999999</v>
      </c>
      <c r="I95" s="27">
        <f t="shared" si="25"/>
        <v>29087410.860000003</v>
      </c>
      <c r="J95" s="27">
        <f t="shared" si="25"/>
        <v>28824637.169999998</v>
      </c>
      <c r="K95" s="27">
        <f t="shared" si="25"/>
        <v>37731674.770000003</v>
      </c>
      <c r="L95" s="27">
        <f t="shared" si="25"/>
        <v>38839683.329999998</v>
      </c>
      <c r="M95" s="125">
        <f t="shared" si="25"/>
        <v>50624441.670000002</v>
      </c>
      <c r="N95" s="28">
        <f t="shared" si="25"/>
        <v>43871045.600000001</v>
      </c>
      <c r="O95" s="27">
        <f t="shared" si="25"/>
        <v>45224852.810000002</v>
      </c>
      <c r="P95" s="27">
        <f t="shared" si="25"/>
        <v>23836269.809999999</v>
      </c>
      <c r="Q95" s="89" t="s">
        <v>21</v>
      </c>
      <c r="R95" s="89" t="s">
        <v>21</v>
      </c>
      <c r="S95" s="89" t="s">
        <v>21</v>
      </c>
      <c r="T95" s="89" t="s">
        <v>21</v>
      </c>
      <c r="U95" s="89" t="s">
        <v>21</v>
      </c>
      <c r="V95" s="89" t="s">
        <v>21</v>
      </c>
      <c r="W95" s="89" t="s">
        <v>21</v>
      </c>
      <c r="X95" s="89" t="s">
        <v>21</v>
      </c>
      <c r="Y95" s="89" t="s">
        <v>21</v>
      </c>
      <c r="Z95" s="97" t="s">
        <v>21</v>
      </c>
      <c r="AA95" s="97" t="s">
        <v>21</v>
      </c>
      <c r="AB95" s="97" t="s">
        <v>21</v>
      </c>
      <c r="AC95" s="29"/>
      <c r="AD95" s="29"/>
      <c r="AE95" s="29"/>
      <c r="AF95" s="29"/>
      <c r="AG95" s="29"/>
      <c r="AH95" s="29"/>
      <c r="AI95" s="29"/>
      <c r="AJ95" s="29"/>
      <c r="AK95" s="29"/>
      <c r="AL95" s="29"/>
      <c r="AM95" s="29"/>
      <c r="AN95" s="29"/>
      <c r="AO95" s="29"/>
      <c r="AP95" s="29"/>
      <c r="AQ95" s="29"/>
      <c r="AR95" s="29"/>
      <c r="AS95" s="29"/>
      <c r="AT95" s="29"/>
      <c r="AU95" s="29"/>
      <c r="AV95" s="29"/>
      <c r="AW95" s="29"/>
      <c r="AX95" s="29"/>
      <c r="AY95" s="29"/>
      <c r="AZ95" s="29"/>
      <c r="BA95" s="29"/>
      <c r="BB95" s="29"/>
    </row>
    <row r="96" spans="1:54" s="22" customFormat="1" ht="4.5" hidden="1" customHeight="1" x14ac:dyDescent="0.4">
      <c r="A96" s="208"/>
      <c r="B96" s="158"/>
      <c r="C96" s="199"/>
      <c r="D96" s="199"/>
      <c r="E96" s="199"/>
      <c r="F96" s="89"/>
      <c r="G96" s="27"/>
      <c r="H96" s="28"/>
      <c r="I96" s="27"/>
      <c r="J96" s="27"/>
      <c r="K96" s="27"/>
      <c r="L96" s="27"/>
      <c r="M96" s="125"/>
      <c r="N96" s="28"/>
      <c r="O96" s="27"/>
      <c r="P96" s="27"/>
      <c r="Q96" s="89"/>
      <c r="R96" s="89"/>
      <c r="S96" s="89"/>
      <c r="T96" s="89"/>
      <c r="U96" s="89"/>
      <c r="V96" s="89"/>
      <c r="W96" s="89"/>
      <c r="X96" s="89"/>
      <c r="Y96" s="89"/>
      <c r="Z96" s="97"/>
      <c r="AA96" s="97"/>
      <c r="AB96" s="97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29"/>
      <c r="AS96" s="29"/>
      <c r="AT96" s="29"/>
      <c r="AU96" s="29"/>
      <c r="AV96" s="29"/>
      <c r="AW96" s="29"/>
      <c r="AX96" s="29"/>
      <c r="AY96" s="29"/>
      <c r="AZ96" s="29"/>
      <c r="BA96" s="29"/>
      <c r="BB96" s="29"/>
    </row>
    <row r="97" spans="1:54" s="22" customFormat="1" ht="223.5" customHeight="1" x14ac:dyDescent="0.4">
      <c r="A97" s="208"/>
      <c r="B97" s="158"/>
      <c r="C97" s="199"/>
      <c r="D97" s="199"/>
      <c r="E97" s="199"/>
      <c r="F97" s="89" t="s">
        <v>32</v>
      </c>
      <c r="G97" s="27">
        <f>H97+I97+J97+K97+L97+M97+N97</f>
        <v>56459056.280000001</v>
      </c>
      <c r="H97" s="28">
        <v>10676635.779999999</v>
      </c>
      <c r="I97" s="27">
        <f>20869102.91-17259166.28+412566.97+131886.28+1500+521433+179500+114950+829150+4026.4+13742.24+650+2500+384297+25740+29553.5+163910.45</f>
        <v>6425342.4699999997</v>
      </c>
      <c r="J97" s="27">
        <f>3049921.26+200000+1532662.21+20410+14286+436650+14690+1500+30000+10690+2310+39000-2188598.6+33792.21+90740+40369.61+135612+74000-40369.61-41575-29000+136300-2.13+127635.61-4000-26250.46+0.54</f>
        <v>3660773.6399999997</v>
      </c>
      <c r="K97" s="27">
        <f>22192493.25-155000-14000-600000-300000-12332828.5-3724514+184851.53+55825.18+5906.7+1406959.7-1041771.66+430000+200000+125999+36000+28800+867356.33+1520735.8+21020+2879.63+115060-16462.09+165281.3+160223.01-2674.21</f>
        <v>9332140.9700000007</v>
      </c>
      <c r="L97" s="27">
        <f>42000+4211550+26860+1271888.06+78570-50000-30615-1025564.95+140000+121500-1189000+659018.41+23700+47950+305000+19638+12702+40949.59+7484+2090+2.87+100000+1546114.88+50898.98-42019.23-1015834.68</f>
        <v>5354882.9300000006</v>
      </c>
      <c r="M97" s="125">
        <f>12000+3713794+1121565.68+710000+4670+4700+54000+70000-29217.71+10000000+780000+50000+199400-4469563.29+32943.56-2315.48-11970.23+168109.7+9000-16326.53+3461134.38-44540+68350+223000+141000+112500+120695+75000-484859.79+72459.3+53359-60000+2760798.62+60000+20000+87050.44-1732625.6-3011437.46-73965.7</f>
        <v>14248707.890000001</v>
      </c>
      <c r="N97" s="28">
        <f>22222108.94+9180+30000+40000-15721020+180303.66</f>
        <v>6760572.6000000015</v>
      </c>
      <c r="O97" s="27">
        <f>23795849.81+9550+30000</f>
        <v>23835399.809999999</v>
      </c>
      <c r="P97" s="27">
        <f>23795849.81+10420+30000</f>
        <v>23836269.809999999</v>
      </c>
      <c r="Q97" s="89"/>
      <c r="R97" s="89"/>
      <c r="S97" s="89"/>
      <c r="T97" s="89"/>
      <c r="U97" s="89"/>
      <c r="V97" s="89"/>
      <c r="W97" s="89"/>
      <c r="X97" s="89"/>
      <c r="Y97" s="89"/>
      <c r="Z97" s="97"/>
      <c r="AA97" s="97"/>
      <c r="AB97" s="97"/>
      <c r="AC97" s="29"/>
      <c r="AD97" s="29"/>
      <c r="AE97" s="29"/>
      <c r="AF97" s="29"/>
      <c r="AG97" s="29"/>
      <c r="AH97" s="29"/>
      <c r="AI97" s="29"/>
      <c r="AJ97" s="29"/>
      <c r="AK97" s="29"/>
      <c r="AL97" s="29"/>
      <c r="AM97" s="29"/>
      <c r="AN97" s="29"/>
      <c r="AO97" s="29"/>
      <c r="AP97" s="29"/>
      <c r="AQ97" s="29"/>
      <c r="AR97" s="29"/>
      <c r="AS97" s="29"/>
      <c r="AT97" s="29"/>
      <c r="AU97" s="29"/>
      <c r="AV97" s="29"/>
      <c r="AW97" s="29"/>
      <c r="AX97" s="29"/>
      <c r="AY97" s="29"/>
      <c r="AZ97" s="29"/>
      <c r="BA97" s="29"/>
      <c r="BB97" s="29"/>
    </row>
    <row r="98" spans="1:54" s="22" customFormat="1" ht="153.75" customHeight="1" x14ac:dyDescent="0.4">
      <c r="A98" s="208"/>
      <c r="B98" s="159"/>
      <c r="C98" s="200"/>
      <c r="D98" s="200"/>
      <c r="E98" s="200"/>
      <c r="F98" s="89" t="s">
        <v>33</v>
      </c>
      <c r="G98" s="27">
        <f>H98+I98+J98+K98+L98+M98+N98</f>
        <v>200514928.52000001</v>
      </c>
      <c r="H98" s="28">
        <v>17318455.620000001</v>
      </c>
      <c r="I98" s="27">
        <f>17259166.28+5381340.99+21561.12</f>
        <v>22662068.390000004</v>
      </c>
      <c r="J98" s="27">
        <f>18844495.22+5704400.71-33792.21+648759.81</f>
        <v>25163863.529999997</v>
      </c>
      <c r="K98" s="27">
        <f>12332828.5+3724514+5826876.3+1500000-1500000+3186997+771461+2308300+248557</f>
        <v>28399533.800000001</v>
      </c>
      <c r="L98" s="27">
        <f>5577821+16453286+1189000+107983.83+5489519+4004056+116413+546721.57</f>
        <v>33484800.399999999</v>
      </c>
      <c r="M98" s="125">
        <f>13268366+4007046.64+11857993+6889592+352736.14</f>
        <v>36375733.780000001</v>
      </c>
      <c r="N98" s="28">
        <f>15721020+21389453</f>
        <v>37110473</v>
      </c>
      <c r="O98" s="27">
        <v>21389453</v>
      </c>
      <c r="P98" s="27" t="s">
        <v>35</v>
      </c>
      <c r="Q98" s="89"/>
      <c r="R98" s="89"/>
      <c r="S98" s="89"/>
      <c r="T98" s="89"/>
      <c r="U98" s="89"/>
      <c r="V98" s="89"/>
      <c r="W98" s="89"/>
      <c r="X98" s="89"/>
      <c r="Y98" s="89"/>
      <c r="Z98" s="97"/>
      <c r="AA98" s="97"/>
      <c r="AB98" s="97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29"/>
      <c r="AS98" s="29"/>
      <c r="AT98" s="29"/>
      <c r="AU98" s="29"/>
      <c r="AV98" s="29"/>
      <c r="AW98" s="29"/>
      <c r="AX98" s="29"/>
      <c r="AY98" s="29"/>
      <c r="AZ98" s="29"/>
      <c r="BA98" s="29"/>
      <c r="BB98" s="29"/>
    </row>
    <row r="99" spans="1:54" s="22" customFormat="1" ht="111" customHeight="1" x14ac:dyDescent="0.4">
      <c r="A99" s="95"/>
      <c r="B99" s="213" t="s">
        <v>73</v>
      </c>
      <c r="C99" s="105"/>
      <c r="D99" s="105"/>
      <c r="E99" s="105"/>
      <c r="F99" s="89" t="s">
        <v>26</v>
      </c>
      <c r="G99" s="27">
        <f t="shared" ref="G99:P99" si="26">G100+G101</f>
        <v>231587798.02000001</v>
      </c>
      <c r="H99" s="27">
        <f t="shared" si="26"/>
        <v>26251551.27</v>
      </c>
      <c r="I99" s="27">
        <f t="shared" si="26"/>
        <v>26250443.899999999</v>
      </c>
      <c r="J99" s="27">
        <f t="shared" si="26"/>
        <v>26687796.870000001</v>
      </c>
      <c r="K99" s="27">
        <f t="shared" si="26"/>
        <v>32505516.440000001</v>
      </c>
      <c r="L99" s="27">
        <f t="shared" si="26"/>
        <v>36794898.859999999</v>
      </c>
      <c r="M99" s="125">
        <f t="shared" si="26"/>
        <v>41075089.57</v>
      </c>
      <c r="N99" s="28">
        <f t="shared" si="26"/>
        <v>42022501.109999999</v>
      </c>
      <c r="O99" s="27">
        <f t="shared" si="26"/>
        <v>42022501.109999999</v>
      </c>
      <c r="P99" s="27">
        <f t="shared" si="26"/>
        <v>0</v>
      </c>
      <c r="Q99" s="157" t="s">
        <v>59</v>
      </c>
      <c r="R99" s="157" t="s">
        <v>38</v>
      </c>
      <c r="S99" s="157"/>
      <c r="T99" s="157">
        <v>78.78</v>
      </c>
      <c r="U99" s="157">
        <v>77.349999999999994</v>
      </c>
      <c r="V99" s="157">
        <v>75.5</v>
      </c>
      <c r="W99" s="157">
        <v>77.56</v>
      </c>
      <c r="X99" s="157">
        <v>78.03</v>
      </c>
      <c r="Y99" s="157">
        <v>80.3</v>
      </c>
      <c r="Z99" s="157">
        <v>73.989999999999995</v>
      </c>
      <c r="AA99" s="157">
        <v>73.989999999999995</v>
      </c>
      <c r="AB99" s="157">
        <v>73.989999999999995</v>
      </c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</row>
    <row r="100" spans="1:54" s="22" customFormat="1" ht="234" customHeight="1" x14ac:dyDescent="0.4">
      <c r="A100" s="95"/>
      <c r="B100" s="214"/>
      <c r="C100" s="105"/>
      <c r="D100" s="105"/>
      <c r="E100" s="105"/>
      <c r="F100" s="89" t="s">
        <v>32</v>
      </c>
      <c r="G100" s="27">
        <f>H100+I100+J100+K100+L100+M100+N100</f>
        <v>134776954.80000001</v>
      </c>
      <c r="H100" s="28">
        <f>21247214.65-12285399.25</f>
        <v>8961815.3999999985</v>
      </c>
      <c r="I100" s="27">
        <f>20869102.91</f>
        <v>20869102.91</v>
      </c>
      <c r="J100" s="27">
        <f>18350977.48+2965150.61+578288.39-1559777.39-3+0.26</f>
        <v>20334636.350000001</v>
      </c>
      <c r="K100" s="27">
        <f>16347101.4+4936824.6+5906.7-654229.2+21020+2879.63+115060+160223.01</f>
        <v>20934786.140000001</v>
      </c>
      <c r="L100" s="27">
        <f>21083614.92+27201.77-42019.23</f>
        <v>21068797.460000001</v>
      </c>
      <c r="M100" s="125">
        <v>21974768.43</v>
      </c>
      <c r="N100" s="28">
        <v>20633048.109999999</v>
      </c>
      <c r="O100" s="27">
        <v>20633048.109999999</v>
      </c>
      <c r="P100" s="27">
        <v>0</v>
      </c>
      <c r="Q100" s="158"/>
      <c r="R100" s="158"/>
      <c r="S100" s="158"/>
      <c r="T100" s="158"/>
      <c r="U100" s="158"/>
      <c r="V100" s="158"/>
      <c r="W100" s="158"/>
      <c r="X100" s="158"/>
      <c r="Y100" s="158"/>
      <c r="Z100" s="158"/>
      <c r="AA100" s="158"/>
      <c r="AB100" s="158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</row>
    <row r="101" spans="1:54" s="22" customFormat="1" ht="211.5" customHeight="1" x14ac:dyDescent="0.4">
      <c r="A101" s="95"/>
      <c r="B101" s="215"/>
      <c r="C101" s="105"/>
      <c r="D101" s="105"/>
      <c r="E101" s="105"/>
      <c r="F101" s="89" t="s">
        <v>33</v>
      </c>
      <c r="G101" s="27">
        <f>H101+I101+J101+K101+L101+M101+N101</f>
        <v>96810843.219999999</v>
      </c>
      <c r="H101" s="28">
        <f>5004336.62+12285399.25</f>
        <v>17289735.870000001</v>
      </c>
      <c r="I101" s="27">
        <f>5381340.99</f>
        <v>5381340.9900000002</v>
      </c>
      <c r="J101" s="27">
        <f>5704400.71+648759.81</f>
        <v>6353160.5199999996</v>
      </c>
      <c r="K101" s="27">
        <f>4475327.4+1351548.9+3186997+2308300+248557</f>
        <v>11570730.300000001</v>
      </c>
      <c r="L101" s="27">
        <f>5685804.83+5489519+4004056+546721.57</f>
        <v>15726101.4</v>
      </c>
      <c r="M101" s="125">
        <v>19100321.140000001</v>
      </c>
      <c r="N101" s="28">
        <v>21389453</v>
      </c>
      <c r="O101" s="27">
        <v>21389453</v>
      </c>
      <c r="P101" s="27" t="s">
        <v>35</v>
      </c>
      <c r="Q101" s="159"/>
      <c r="R101" s="159"/>
      <c r="S101" s="159"/>
      <c r="T101" s="159"/>
      <c r="U101" s="159"/>
      <c r="V101" s="159"/>
      <c r="W101" s="159"/>
      <c r="X101" s="159"/>
      <c r="Y101" s="159"/>
      <c r="Z101" s="159"/>
      <c r="AA101" s="159"/>
      <c r="AB101" s="159"/>
      <c r="AC101" s="29"/>
      <c r="AD101" s="29"/>
      <c r="AE101" s="29"/>
      <c r="AF101" s="29"/>
      <c r="AG101" s="29"/>
      <c r="AH101" s="29"/>
      <c r="AI101" s="29"/>
      <c r="AJ101" s="29"/>
      <c r="AK101" s="29"/>
      <c r="AL101" s="29"/>
      <c r="AM101" s="29"/>
      <c r="AN101" s="29"/>
      <c r="AO101" s="29"/>
      <c r="AP101" s="29"/>
      <c r="AQ101" s="29"/>
      <c r="AR101" s="29"/>
      <c r="AS101" s="29"/>
      <c r="AT101" s="29"/>
      <c r="AU101" s="29"/>
      <c r="AV101" s="29"/>
      <c r="AW101" s="29"/>
      <c r="AX101" s="29"/>
      <c r="AY101" s="29"/>
      <c r="AZ101" s="29"/>
      <c r="BA101" s="29"/>
      <c r="BB101" s="29"/>
    </row>
    <row r="102" spans="1:54" s="22" customFormat="1" ht="121.5" customHeight="1" x14ac:dyDescent="0.4">
      <c r="A102" s="208"/>
      <c r="B102" s="157" t="s">
        <v>74</v>
      </c>
      <c r="C102" s="198"/>
      <c r="D102" s="198"/>
      <c r="E102" s="198"/>
      <c r="F102" s="89" t="s">
        <v>26</v>
      </c>
      <c r="G102" s="27">
        <f t="shared" ref="G102:P102" si="27">G103+G104</f>
        <v>440487</v>
      </c>
      <c r="H102" s="27">
        <f t="shared" si="27"/>
        <v>440487</v>
      </c>
      <c r="I102" s="27">
        <f t="shared" si="27"/>
        <v>0</v>
      </c>
      <c r="J102" s="27">
        <f t="shared" si="27"/>
        <v>0</v>
      </c>
      <c r="K102" s="27">
        <f t="shared" si="27"/>
        <v>0</v>
      </c>
      <c r="L102" s="27">
        <f t="shared" si="27"/>
        <v>0</v>
      </c>
      <c r="M102" s="125">
        <f t="shared" si="27"/>
        <v>0</v>
      </c>
      <c r="N102" s="28">
        <f t="shared" si="27"/>
        <v>0</v>
      </c>
      <c r="O102" s="27">
        <f t="shared" si="27"/>
        <v>0</v>
      </c>
      <c r="P102" s="27">
        <f t="shared" si="27"/>
        <v>0</v>
      </c>
      <c r="Q102" s="89" t="s">
        <v>21</v>
      </c>
      <c r="R102" s="89" t="s">
        <v>21</v>
      </c>
      <c r="S102" s="89" t="s">
        <v>21</v>
      </c>
      <c r="T102" s="89" t="s">
        <v>21</v>
      </c>
      <c r="U102" s="89" t="s">
        <v>21</v>
      </c>
      <c r="V102" s="89" t="s">
        <v>21</v>
      </c>
      <c r="W102" s="89" t="s">
        <v>21</v>
      </c>
      <c r="X102" s="89" t="s">
        <v>21</v>
      </c>
      <c r="Y102" s="89" t="s">
        <v>21</v>
      </c>
      <c r="Z102" s="97" t="s">
        <v>21</v>
      </c>
      <c r="AA102" s="97" t="s">
        <v>21</v>
      </c>
      <c r="AB102" s="97" t="s">
        <v>21</v>
      </c>
      <c r="AC102" s="29"/>
      <c r="AD102" s="29"/>
      <c r="AE102" s="29"/>
      <c r="AF102" s="29"/>
      <c r="AG102" s="29"/>
      <c r="AH102" s="29"/>
      <c r="AI102" s="29"/>
      <c r="AJ102" s="29"/>
      <c r="AK102" s="29"/>
      <c r="AL102" s="29"/>
      <c r="AM102" s="29"/>
      <c r="AN102" s="29"/>
      <c r="AO102" s="29"/>
      <c r="AP102" s="29"/>
      <c r="AQ102" s="29"/>
      <c r="AR102" s="29"/>
      <c r="AS102" s="29"/>
      <c r="AT102" s="29"/>
      <c r="AU102" s="29"/>
      <c r="AV102" s="29"/>
      <c r="AW102" s="29"/>
      <c r="AX102" s="29"/>
      <c r="AY102" s="29"/>
      <c r="AZ102" s="29"/>
      <c r="BA102" s="29"/>
      <c r="BB102" s="29"/>
    </row>
    <row r="103" spans="1:54" s="22" customFormat="1" ht="223.5" customHeight="1" x14ac:dyDescent="0.4">
      <c r="A103" s="208"/>
      <c r="B103" s="158"/>
      <c r="C103" s="199"/>
      <c r="D103" s="199"/>
      <c r="E103" s="199"/>
      <c r="F103" s="89" t="s">
        <v>32</v>
      </c>
      <c r="G103" s="27">
        <f>H103+I103+J103+K103+L103+M103+N103</f>
        <v>440487</v>
      </c>
      <c r="H103" s="28">
        <v>440487</v>
      </c>
      <c r="I103" s="27">
        <v>0</v>
      </c>
      <c r="J103" s="27" t="s">
        <v>35</v>
      </c>
      <c r="K103" s="27">
        <v>0</v>
      </c>
      <c r="L103" s="27">
        <v>0</v>
      </c>
      <c r="M103" s="125">
        <v>0</v>
      </c>
      <c r="N103" s="28">
        <v>0</v>
      </c>
      <c r="O103" s="27">
        <v>0</v>
      </c>
      <c r="P103" s="27">
        <v>0</v>
      </c>
      <c r="Q103" s="89"/>
      <c r="R103" s="89"/>
      <c r="S103" s="89"/>
      <c r="T103" s="89"/>
      <c r="U103" s="89"/>
      <c r="V103" s="89"/>
      <c r="W103" s="89"/>
      <c r="X103" s="89"/>
      <c r="Y103" s="89"/>
      <c r="Z103" s="97"/>
      <c r="AA103" s="97"/>
      <c r="AB103" s="97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29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</row>
    <row r="104" spans="1:54" s="22" customFormat="1" ht="174" customHeight="1" x14ac:dyDescent="0.4">
      <c r="A104" s="208"/>
      <c r="B104" s="159"/>
      <c r="C104" s="200"/>
      <c r="D104" s="200"/>
      <c r="E104" s="200"/>
      <c r="F104" s="89" t="s">
        <v>33</v>
      </c>
      <c r="G104" s="27">
        <f>H104+I104+J104+K104+L104+M104+N104</f>
        <v>0</v>
      </c>
      <c r="H104" s="28" t="s">
        <v>35</v>
      </c>
      <c r="I104" s="27" t="s">
        <v>35</v>
      </c>
      <c r="J104" s="27" t="s">
        <v>35</v>
      </c>
      <c r="K104" s="27" t="s">
        <v>35</v>
      </c>
      <c r="L104" s="27" t="s">
        <v>35</v>
      </c>
      <c r="M104" s="125" t="s">
        <v>35</v>
      </c>
      <c r="N104" s="28" t="s">
        <v>35</v>
      </c>
      <c r="O104" s="27">
        <v>0</v>
      </c>
      <c r="P104" s="27" t="s">
        <v>35</v>
      </c>
      <c r="Q104" s="89"/>
      <c r="R104" s="89"/>
      <c r="S104" s="89"/>
      <c r="T104" s="89"/>
      <c r="U104" s="89"/>
      <c r="V104" s="89"/>
      <c r="W104" s="89"/>
      <c r="X104" s="89"/>
      <c r="Y104" s="89"/>
      <c r="Z104" s="97"/>
      <c r="AA104" s="97"/>
      <c r="AB104" s="97"/>
      <c r="AC104" s="29"/>
      <c r="AD104" s="29"/>
      <c r="AE104" s="29"/>
      <c r="AF104" s="29"/>
      <c r="AG104" s="29"/>
      <c r="AH104" s="29"/>
      <c r="AI104" s="29"/>
      <c r="AJ104" s="29"/>
      <c r="AK104" s="29"/>
      <c r="AL104" s="29"/>
      <c r="AM104" s="29"/>
      <c r="AN104" s="29"/>
      <c r="AO104" s="29"/>
      <c r="AP104" s="29"/>
      <c r="AQ104" s="29"/>
      <c r="AR104" s="29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</row>
    <row r="105" spans="1:54" s="22" customFormat="1" ht="120" customHeight="1" x14ac:dyDescent="0.4">
      <c r="A105" s="95"/>
      <c r="B105" s="213" t="s">
        <v>75</v>
      </c>
      <c r="C105" s="105"/>
      <c r="D105" s="105"/>
      <c r="E105" s="105"/>
      <c r="F105" s="89" t="s">
        <v>26</v>
      </c>
      <c r="G105" s="106">
        <f t="shared" ref="G105:M105" si="28">G106+G107</f>
        <v>0</v>
      </c>
      <c r="H105" s="106">
        <f t="shared" si="28"/>
        <v>0</v>
      </c>
      <c r="I105" s="106">
        <f t="shared" si="28"/>
        <v>0</v>
      </c>
      <c r="J105" s="106">
        <f t="shared" si="28"/>
        <v>0</v>
      </c>
      <c r="K105" s="106">
        <f t="shared" si="28"/>
        <v>0</v>
      </c>
      <c r="L105" s="106">
        <f t="shared" si="28"/>
        <v>0</v>
      </c>
      <c r="M105" s="127">
        <f t="shared" si="28"/>
        <v>0</v>
      </c>
      <c r="N105" s="137">
        <v>0</v>
      </c>
      <c r="O105" s="139">
        <v>0</v>
      </c>
      <c r="P105" s="106">
        <v>0</v>
      </c>
      <c r="Q105" s="89"/>
      <c r="R105" s="89"/>
      <c r="S105" s="89"/>
      <c r="T105" s="89"/>
      <c r="U105" s="89"/>
      <c r="V105" s="89"/>
      <c r="W105" s="89"/>
      <c r="X105" s="89"/>
      <c r="Y105" s="89"/>
      <c r="Z105" s="97"/>
      <c r="AA105" s="97"/>
      <c r="AB105" s="97"/>
      <c r="AC105" s="29"/>
      <c r="AD105" s="29"/>
      <c r="AE105" s="29"/>
      <c r="AF105" s="29"/>
      <c r="AG105" s="29"/>
      <c r="AH105" s="29"/>
      <c r="AI105" s="29"/>
      <c r="AJ105" s="29"/>
      <c r="AK105" s="29"/>
      <c r="AL105" s="29"/>
      <c r="AM105" s="29"/>
      <c r="AN105" s="29"/>
      <c r="AO105" s="29"/>
      <c r="AP105" s="29"/>
      <c r="AQ105" s="29"/>
      <c r="AR105" s="29"/>
      <c r="AS105" s="29"/>
      <c r="AT105" s="29"/>
      <c r="AU105" s="29"/>
      <c r="AV105" s="29"/>
      <c r="AW105" s="29"/>
      <c r="AX105" s="29"/>
      <c r="AY105" s="29"/>
      <c r="AZ105" s="29"/>
      <c r="BA105" s="29"/>
      <c r="BB105" s="29"/>
    </row>
    <row r="106" spans="1:54" s="22" customFormat="1" ht="222" customHeight="1" x14ac:dyDescent="0.4">
      <c r="A106" s="95"/>
      <c r="B106" s="214"/>
      <c r="C106" s="105"/>
      <c r="D106" s="105"/>
      <c r="E106" s="105"/>
      <c r="F106" s="89" t="s">
        <v>32</v>
      </c>
      <c r="G106" s="106">
        <f t="shared" ref="G106:G107" si="29">H106+I106+J106+K106+L106+M106+N106</f>
        <v>0</v>
      </c>
      <c r="H106" s="106">
        <f>I106+J106+K106+L106+M106+N106+Q106</f>
        <v>0</v>
      </c>
      <c r="I106" s="106">
        <f>J106+K106+L106+M106+N106+Q106+R106</f>
        <v>0</v>
      </c>
      <c r="J106" s="106">
        <f>K106+L106+M106+N106+Q106+R106+S106</f>
        <v>0</v>
      </c>
      <c r="K106" s="106">
        <f>L106+M106+N106+Q106+R106+S106+T106</f>
        <v>0</v>
      </c>
      <c r="L106" s="106">
        <f>M106+N106+Q106+R106+S106+T106+U106</f>
        <v>0</v>
      </c>
      <c r="M106" s="127">
        <f>N106+Q106+R106+S106+T106+U106+V106</f>
        <v>0</v>
      </c>
      <c r="N106" s="137">
        <v>0</v>
      </c>
      <c r="O106" s="139">
        <v>0</v>
      </c>
      <c r="P106" s="106">
        <v>0</v>
      </c>
      <c r="Q106" s="89"/>
      <c r="R106" s="89"/>
      <c r="S106" s="89"/>
      <c r="T106" s="89"/>
      <c r="U106" s="89"/>
      <c r="V106" s="89"/>
      <c r="W106" s="89"/>
      <c r="X106" s="89"/>
      <c r="Y106" s="89"/>
      <c r="Z106" s="97"/>
      <c r="AA106" s="97"/>
      <c r="AB106" s="97"/>
      <c r="AC106" s="29"/>
      <c r="AD106" s="29"/>
      <c r="AE106" s="29"/>
      <c r="AF106" s="29"/>
      <c r="AG106" s="29"/>
      <c r="AH106" s="29"/>
      <c r="AI106" s="29"/>
      <c r="AJ106" s="29"/>
      <c r="AK106" s="29"/>
      <c r="AL106" s="29"/>
      <c r="AM106" s="29"/>
      <c r="AN106" s="29"/>
      <c r="AO106" s="29"/>
      <c r="AP106" s="29"/>
      <c r="AQ106" s="29"/>
      <c r="AR106" s="29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</row>
    <row r="107" spans="1:54" s="22" customFormat="1" ht="174" customHeight="1" x14ac:dyDescent="0.4">
      <c r="A107" s="95"/>
      <c r="B107" s="215"/>
      <c r="C107" s="105"/>
      <c r="D107" s="105"/>
      <c r="E107" s="105"/>
      <c r="F107" s="89" t="s">
        <v>33</v>
      </c>
      <c r="G107" s="106">
        <f t="shared" si="29"/>
        <v>0</v>
      </c>
      <c r="H107" s="106">
        <f>I107+J107+K107+L107+M107+N107+Q107</f>
        <v>0</v>
      </c>
      <c r="I107" s="106">
        <f>J107+K107+L107+M107+N107+Q107+R107</f>
        <v>0</v>
      </c>
      <c r="J107" s="106">
        <f>K107+L107+M107+N107+Q107+R107+S107</f>
        <v>0</v>
      </c>
      <c r="K107" s="106">
        <f>L107+M107+N107+Q107+R107+S107+T107</f>
        <v>0</v>
      </c>
      <c r="L107" s="106">
        <f>M107+N107+Q107+R107+S107+T107+U107</f>
        <v>0</v>
      </c>
      <c r="M107" s="127">
        <f>N107+Q107+R107+S107+T107+U107+V107</f>
        <v>0</v>
      </c>
      <c r="N107" s="137">
        <f>Q107+R107+S107+T107+U107+V107+W107</f>
        <v>0</v>
      </c>
      <c r="O107" s="139">
        <f>R107+S107+T107+U107+V107+W107+X107</f>
        <v>0</v>
      </c>
      <c r="P107" s="106">
        <f>R107+S107+T107+U107+V107+W107+X107</f>
        <v>0</v>
      </c>
      <c r="Q107" s="89"/>
      <c r="R107" s="89"/>
      <c r="S107" s="89"/>
      <c r="T107" s="89"/>
      <c r="U107" s="89"/>
      <c r="V107" s="89"/>
      <c r="W107" s="89"/>
      <c r="X107" s="89"/>
      <c r="Y107" s="89"/>
      <c r="Z107" s="97"/>
      <c r="AA107" s="97"/>
      <c r="AB107" s="97"/>
      <c r="AC107" s="29"/>
      <c r="AD107" s="29"/>
      <c r="AE107" s="29"/>
      <c r="AF107" s="29"/>
      <c r="AG107" s="29"/>
      <c r="AH107" s="29"/>
      <c r="AI107" s="29"/>
      <c r="AJ107" s="29"/>
      <c r="AK107" s="29"/>
      <c r="AL107" s="29"/>
      <c r="AM107" s="29"/>
      <c r="AN107" s="29"/>
      <c r="AO107" s="29"/>
      <c r="AP107" s="29"/>
      <c r="AQ107" s="29"/>
      <c r="AR107" s="29"/>
      <c r="AS107" s="29"/>
      <c r="AT107" s="29"/>
      <c r="AU107" s="29"/>
      <c r="AV107" s="29"/>
      <c r="AW107" s="29"/>
      <c r="AX107" s="29"/>
      <c r="AY107" s="29"/>
      <c r="AZ107" s="29"/>
      <c r="BA107" s="29"/>
      <c r="BB107" s="29"/>
    </row>
    <row r="108" spans="1:54" s="22" customFormat="1" ht="168.75" customHeight="1" x14ac:dyDescent="0.4">
      <c r="A108" s="95"/>
      <c r="B108" s="213" t="s">
        <v>76</v>
      </c>
      <c r="C108" s="105"/>
      <c r="D108" s="105"/>
      <c r="E108" s="105"/>
      <c r="F108" s="89" t="s">
        <v>26</v>
      </c>
      <c r="G108" s="106">
        <f t="shared" ref="G108:M108" si="30">G109+G110</f>
        <v>2148353.3499999996</v>
      </c>
      <c r="H108" s="106">
        <f t="shared" si="30"/>
        <v>1842230.9</v>
      </c>
      <c r="I108" s="106">
        <f t="shared" si="30"/>
        <v>306122.45</v>
      </c>
      <c r="J108" s="106">
        <f t="shared" si="30"/>
        <v>0</v>
      </c>
      <c r="K108" s="106">
        <f t="shared" si="30"/>
        <v>0</v>
      </c>
      <c r="L108" s="106">
        <f t="shared" si="30"/>
        <v>0</v>
      </c>
      <c r="M108" s="127">
        <f t="shared" si="30"/>
        <v>0</v>
      </c>
      <c r="N108" s="137">
        <v>0</v>
      </c>
      <c r="O108" s="139">
        <v>0</v>
      </c>
      <c r="P108" s="106">
        <v>0</v>
      </c>
      <c r="Q108" s="89"/>
      <c r="R108" s="89"/>
      <c r="S108" s="89"/>
      <c r="T108" s="89"/>
      <c r="U108" s="89"/>
      <c r="V108" s="89"/>
      <c r="W108" s="89"/>
      <c r="X108" s="89"/>
      <c r="Y108" s="89"/>
      <c r="Z108" s="97"/>
      <c r="AA108" s="97"/>
      <c r="AB108" s="97"/>
      <c r="AC108" s="29"/>
      <c r="AD108" s="29"/>
      <c r="AE108" s="29"/>
      <c r="AF108" s="29"/>
      <c r="AG108" s="29"/>
      <c r="AH108" s="29"/>
      <c r="AI108" s="29"/>
      <c r="AJ108" s="29"/>
      <c r="AK108" s="29"/>
      <c r="AL108" s="29"/>
      <c r="AM108" s="29"/>
      <c r="AN108" s="29"/>
      <c r="AO108" s="29"/>
      <c r="AP108" s="29"/>
      <c r="AQ108" s="29"/>
      <c r="AR108" s="29"/>
      <c r="AS108" s="29"/>
      <c r="AT108" s="29"/>
      <c r="AU108" s="29"/>
      <c r="AV108" s="29"/>
      <c r="AW108" s="29"/>
      <c r="AX108" s="29"/>
      <c r="AY108" s="29"/>
      <c r="AZ108" s="29"/>
      <c r="BA108" s="29"/>
      <c r="BB108" s="29"/>
    </row>
    <row r="109" spans="1:54" s="22" customFormat="1" ht="222" customHeight="1" x14ac:dyDescent="0.4">
      <c r="A109" s="95"/>
      <c r="B109" s="214"/>
      <c r="C109" s="105"/>
      <c r="D109" s="105"/>
      <c r="E109" s="105"/>
      <c r="F109" s="89" t="s">
        <v>32</v>
      </c>
      <c r="G109" s="106">
        <f>H109+I109+J109+K109+L109+M109+N109</f>
        <v>1248353.3499999999</v>
      </c>
      <c r="H109" s="106">
        <f>1229986+12244.9</f>
        <v>1242230.8999999999</v>
      </c>
      <c r="I109" s="106">
        <v>6122.45</v>
      </c>
      <c r="J109" s="106">
        <v>0</v>
      </c>
      <c r="K109" s="106">
        <v>0</v>
      </c>
      <c r="L109" s="106">
        <v>0</v>
      </c>
      <c r="M109" s="127">
        <v>0</v>
      </c>
      <c r="N109" s="137">
        <v>0</v>
      </c>
      <c r="O109" s="139">
        <v>0</v>
      </c>
      <c r="P109" s="106">
        <v>0</v>
      </c>
      <c r="Q109" s="89"/>
      <c r="R109" s="89"/>
      <c r="S109" s="89"/>
      <c r="T109" s="89"/>
      <c r="U109" s="89"/>
      <c r="V109" s="89"/>
      <c r="W109" s="89"/>
      <c r="X109" s="89"/>
      <c r="Y109" s="89"/>
      <c r="Z109" s="97"/>
      <c r="AA109" s="97"/>
      <c r="AB109" s="97"/>
      <c r="AC109" s="29"/>
      <c r="AD109" s="29"/>
      <c r="AE109" s="29"/>
      <c r="AF109" s="29"/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  <c r="AQ109" s="29"/>
      <c r="AR109" s="29"/>
      <c r="AS109" s="29"/>
      <c r="AT109" s="29"/>
      <c r="AU109" s="29"/>
      <c r="AV109" s="29"/>
      <c r="AW109" s="29"/>
      <c r="AX109" s="29"/>
      <c r="AY109" s="29"/>
      <c r="AZ109" s="29"/>
      <c r="BA109" s="29"/>
      <c r="BB109" s="29"/>
    </row>
    <row r="110" spans="1:54" s="22" customFormat="1" ht="174" customHeight="1" x14ac:dyDescent="0.4">
      <c r="A110" s="95"/>
      <c r="B110" s="215"/>
      <c r="C110" s="105"/>
      <c r="D110" s="105"/>
      <c r="E110" s="105"/>
      <c r="F110" s="89" t="s">
        <v>33</v>
      </c>
      <c r="G110" s="106">
        <f>H110+I110+J110+K110+L110+M110+N110</f>
        <v>900000</v>
      </c>
      <c r="H110" s="106">
        <v>600000</v>
      </c>
      <c r="I110" s="106">
        <v>300000</v>
      </c>
      <c r="J110" s="106">
        <v>0</v>
      </c>
      <c r="K110" s="106">
        <v>0</v>
      </c>
      <c r="L110" s="106">
        <v>0</v>
      </c>
      <c r="M110" s="127">
        <v>0</v>
      </c>
      <c r="N110" s="137">
        <v>0</v>
      </c>
      <c r="O110" s="139">
        <v>0</v>
      </c>
      <c r="P110" s="106">
        <v>0</v>
      </c>
      <c r="Q110" s="98"/>
      <c r="R110" s="98"/>
      <c r="S110" s="98"/>
      <c r="T110" s="98"/>
      <c r="U110" s="98"/>
      <c r="V110" s="98"/>
      <c r="W110" s="98"/>
      <c r="X110" s="98"/>
      <c r="Y110" s="98"/>
      <c r="Z110" s="102"/>
      <c r="AA110" s="102"/>
      <c r="AB110" s="102"/>
      <c r="AC110" s="29"/>
      <c r="AD110" s="29"/>
      <c r="AE110" s="29"/>
      <c r="AF110" s="29"/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  <c r="AQ110" s="29"/>
      <c r="AR110" s="29"/>
      <c r="AS110" s="29"/>
      <c r="AT110" s="29"/>
      <c r="AU110" s="29"/>
      <c r="AV110" s="29"/>
      <c r="AW110" s="29"/>
      <c r="AX110" s="29"/>
      <c r="AY110" s="29"/>
      <c r="AZ110" s="29"/>
      <c r="BA110" s="29"/>
      <c r="BB110" s="29"/>
    </row>
    <row r="111" spans="1:54" s="22" customFormat="1" ht="134.25" customHeight="1" x14ac:dyDescent="0.4">
      <c r="A111" s="198"/>
      <c r="B111" s="228" t="s">
        <v>77</v>
      </c>
      <c r="C111" s="105"/>
      <c r="D111" s="105"/>
      <c r="E111" s="105"/>
      <c r="F111" s="89" t="s">
        <v>26</v>
      </c>
      <c r="G111" s="106">
        <f t="shared" ref="G111:O111" si="31">G112+G113</f>
        <v>4698218.84</v>
      </c>
      <c r="H111" s="106">
        <f t="shared" si="31"/>
        <v>0</v>
      </c>
      <c r="I111" s="106">
        <f t="shared" si="31"/>
        <v>0</v>
      </c>
      <c r="J111" s="106">
        <f t="shared" si="31"/>
        <v>1020410</v>
      </c>
      <c r="K111" s="106">
        <f t="shared" si="31"/>
        <v>1530612.24</v>
      </c>
      <c r="L111" s="106">
        <f t="shared" si="31"/>
        <v>1530612.24</v>
      </c>
      <c r="M111" s="127">
        <f t="shared" si="31"/>
        <v>598511.73</v>
      </c>
      <c r="N111" s="137">
        <f t="shared" si="31"/>
        <v>18072.63</v>
      </c>
      <c r="O111" s="137">
        <f t="shared" si="31"/>
        <v>0</v>
      </c>
      <c r="P111" s="36">
        <v>0</v>
      </c>
      <c r="Q111" s="114" t="s">
        <v>78</v>
      </c>
      <c r="R111" s="37" t="s">
        <v>79</v>
      </c>
      <c r="S111" s="37"/>
      <c r="T111" s="37" t="s">
        <v>48</v>
      </c>
      <c r="U111" s="37" t="s">
        <v>48</v>
      </c>
      <c r="V111" s="37">
        <v>6843</v>
      </c>
      <c r="W111" s="37">
        <v>6861</v>
      </c>
      <c r="X111" s="37" t="s">
        <v>48</v>
      </c>
      <c r="Y111" s="37" t="s">
        <v>48</v>
      </c>
      <c r="Z111" s="37" t="s">
        <v>48</v>
      </c>
      <c r="AA111" s="37" t="s">
        <v>48</v>
      </c>
      <c r="AB111" s="37" t="s">
        <v>48</v>
      </c>
      <c r="AC111" s="29"/>
      <c r="AD111" s="29"/>
      <c r="AE111" s="29"/>
      <c r="AF111" s="29"/>
      <c r="AG111" s="29"/>
      <c r="AH111" s="29"/>
      <c r="AI111" s="29"/>
      <c r="AJ111" s="29"/>
      <c r="AK111" s="29"/>
      <c r="AL111" s="29"/>
      <c r="AM111" s="29"/>
      <c r="AN111" s="29"/>
      <c r="AO111" s="29"/>
      <c r="AP111" s="29"/>
      <c r="AQ111" s="29"/>
      <c r="AR111" s="29"/>
      <c r="AS111" s="29"/>
      <c r="AT111" s="29"/>
      <c r="AU111" s="29"/>
      <c r="AV111" s="29"/>
      <c r="AW111" s="29"/>
      <c r="AX111" s="29"/>
      <c r="AY111" s="29"/>
      <c r="AZ111" s="29"/>
      <c r="BA111" s="29"/>
      <c r="BB111" s="29"/>
    </row>
    <row r="112" spans="1:54" s="22" customFormat="1" ht="231" customHeight="1" x14ac:dyDescent="0.4">
      <c r="A112" s="199"/>
      <c r="B112" s="229"/>
      <c r="C112" s="105"/>
      <c r="D112" s="105"/>
      <c r="E112" s="105"/>
      <c r="F112" s="89" t="s">
        <v>32</v>
      </c>
      <c r="G112" s="106">
        <f>H112+I112+J112+K112+L112+M112+N112</f>
        <v>111677.34000000001</v>
      </c>
      <c r="H112" s="106">
        <v>0</v>
      </c>
      <c r="I112" s="106">
        <v>0</v>
      </c>
      <c r="J112" s="106">
        <v>20410</v>
      </c>
      <c r="K112" s="106">
        <v>30612.240000000002</v>
      </c>
      <c r="L112" s="106">
        <v>30612.240000000002</v>
      </c>
      <c r="M112" s="127">
        <v>11970.23</v>
      </c>
      <c r="N112" s="137">
        <v>18072.63</v>
      </c>
      <c r="O112" s="139">
        <v>0</v>
      </c>
      <c r="P112" s="106">
        <v>0</v>
      </c>
      <c r="Q112" s="158" t="s">
        <v>80</v>
      </c>
      <c r="R112" s="177" t="s">
        <v>12</v>
      </c>
      <c r="S112" s="177"/>
      <c r="T112" s="223" t="s">
        <v>48</v>
      </c>
      <c r="U112" s="224" t="s">
        <v>48</v>
      </c>
      <c r="V112" s="224" t="s">
        <v>48</v>
      </c>
      <c r="W112" s="226" t="s">
        <v>48</v>
      </c>
      <c r="X112" s="177">
        <v>2</v>
      </c>
      <c r="Y112" s="177">
        <v>2</v>
      </c>
      <c r="Z112" s="177">
        <v>1</v>
      </c>
      <c r="AA112" s="177" t="s">
        <v>48</v>
      </c>
      <c r="AB112" s="177" t="s">
        <v>48</v>
      </c>
      <c r="AC112" s="29"/>
      <c r="AD112" s="29"/>
      <c r="AE112" s="29"/>
      <c r="AF112" s="29"/>
      <c r="AG112" s="29"/>
      <c r="AH112" s="29"/>
      <c r="AI112" s="29"/>
      <c r="AJ112" s="29"/>
      <c r="AK112" s="29"/>
      <c r="AL112" s="29"/>
      <c r="AM112" s="29"/>
      <c r="AN112" s="29"/>
      <c r="AO112" s="29"/>
      <c r="AP112" s="29"/>
      <c r="AQ112" s="29"/>
      <c r="AR112" s="29"/>
      <c r="AS112" s="29"/>
      <c r="AT112" s="29"/>
      <c r="AU112" s="29"/>
      <c r="AV112" s="29"/>
      <c r="AW112" s="29"/>
      <c r="AX112" s="29"/>
      <c r="AY112" s="29"/>
      <c r="AZ112" s="29"/>
      <c r="BA112" s="29"/>
      <c r="BB112" s="29"/>
    </row>
    <row r="113" spans="1:54" s="22" customFormat="1" ht="219" customHeight="1" x14ac:dyDescent="0.4">
      <c r="A113" s="200"/>
      <c r="B113" s="230"/>
      <c r="C113" s="105"/>
      <c r="D113" s="105"/>
      <c r="E113" s="38"/>
      <c r="F113" s="18" t="s">
        <v>33</v>
      </c>
      <c r="G113" s="39">
        <f>H113+I113+J113+K113+L113+M113+N113</f>
        <v>4586541.5</v>
      </c>
      <c r="H113" s="39">
        <v>0</v>
      </c>
      <c r="I113" s="39">
        <v>0</v>
      </c>
      <c r="J113" s="39">
        <v>1000000</v>
      </c>
      <c r="K113" s="39">
        <v>1500000</v>
      </c>
      <c r="L113" s="39">
        <v>1500000</v>
      </c>
      <c r="M113" s="128">
        <v>586541.5</v>
      </c>
      <c r="N113" s="40">
        <v>0</v>
      </c>
      <c r="O113" s="39">
        <v>0</v>
      </c>
      <c r="P113" s="39">
        <v>0</v>
      </c>
      <c r="Q113" s="159"/>
      <c r="R113" s="159"/>
      <c r="S113" s="159"/>
      <c r="T113" s="202"/>
      <c r="U113" s="225"/>
      <c r="V113" s="225"/>
      <c r="W113" s="227"/>
      <c r="X113" s="159"/>
      <c r="Y113" s="159"/>
      <c r="Z113" s="159"/>
      <c r="AA113" s="159"/>
      <c r="AB113" s="159"/>
      <c r="AC113" s="29"/>
      <c r="AD113" s="29"/>
      <c r="AE113" s="29"/>
      <c r="AF113" s="29"/>
      <c r="AG113" s="29"/>
      <c r="AH113" s="29"/>
      <c r="AI113" s="29"/>
      <c r="AJ113" s="29"/>
      <c r="AK113" s="29"/>
      <c r="AL113" s="29"/>
      <c r="AM113" s="29"/>
      <c r="AN113" s="29"/>
      <c r="AO113" s="29"/>
      <c r="AP113" s="29"/>
      <c r="AQ113" s="29"/>
      <c r="AR113" s="29"/>
      <c r="AS113" s="29"/>
      <c r="AT113" s="29"/>
      <c r="AU113" s="29"/>
      <c r="AV113" s="29"/>
      <c r="AW113" s="29"/>
      <c r="AX113" s="29"/>
      <c r="AY113" s="29"/>
      <c r="AZ113" s="29"/>
      <c r="BA113" s="29"/>
      <c r="BB113" s="29"/>
    </row>
    <row r="114" spans="1:54" s="22" customFormat="1" ht="409.6" customHeight="1" x14ac:dyDescent="0.4">
      <c r="A114" s="198"/>
      <c r="B114" s="213" t="s">
        <v>81</v>
      </c>
      <c r="C114" s="198"/>
      <c r="D114" s="198"/>
      <c r="E114" s="222"/>
      <c r="F114" s="177" t="s">
        <v>26</v>
      </c>
      <c r="G114" s="220">
        <f t="shared" ref="G114:M114" si="32">G116+G117</f>
        <v>1530612.53</v>
      </c>
      <c r="H114" s="220">
        <f t="shared" si="32"/>
        <v>0</v>
      </c>
      <c r="I114" s="220">
        <f t="shared" si="32"/>
        <v>0</v>
      </c>
      <c r="J114" s="220">
        <f t="shared" si="32"/>
        <v>714286</v>
      </c>
      <c r="K114" s="220">
        <f t="shared" si="32"/>
        <v>0</v>
      </c>
      <c r="L114" s="220">
        <f t="shared" si="32"/>
        <v>0</v>
      </c>
      <c r="M114" s="216">
        <f t="shared" si="32"/>
        <v>816326.53</v>
      </c>
      <c r="N114" s="218">
        <v>0</v>
      </c>
      <c r="O114" s="141">
        <v>0</v>
      </c>
      <c r="P114" s="220">
        <v>0</v>
      </c>
      <c r="Q114" s="18" t="s">
        <v>62</v>
      </c>
      <c r="R114" s="18" t="s">
        <v>12</v>
      </c>
      <c r="S114" s="18"/>
      <c r="T114" s="18" t="s">
        <v>48</v>
      </c>
      <c r="U114" s="18" t="s">
        <v>48</v>
      </c>
      <c r="V114" s="18">
        <v>1</v>
      </c>
      <c r="W114" s="18" t="s">
        <v>48</v>
      </c>
      <c r="X114" s="18" t="s">
        <v>48</v>
      </c>
      <c r="Y114" s="18" t="s">
        <v>48</v>
      </c>
      <c r="Z114" s="18" t="s">
        <v>48</v>
      </c>
      <c r="AA114" s="18" t="s">
        <v>48</v>
      </c>
      <c r="AB114" s="41" t="s">
        <v>48</v>
      </c>
      <c r="AC114" s="29"/>
      <c r="AD114" s="29"/>
      <c r="AE114" s="29"/>
      <c r="AF114" s="29"/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  <c r="AQ114" s="29"/>
      <c r="AR114" s="29"/>
      <c r="AS114" s="29"/>
      <c r="AT114" s="29"/>
      <c r="AU114" s="29"/>
      <c r="AV114" s="29"/>
      <c r="AW114" s="29"/>
      <c r="AX114" s="29"/>
      <c r="AY114" s="29"/>
      <c r="AZ114" s="29"/>
      <c r="BA114" s="29"/>
      <c r="BB114" s="29"/>
    </row>
    <row r="115" spans="1:54" s="22" customFormat="1" ht="29.25" hidden="1" customHeight="1" x14ac:dyDescent="0.4">
      <c r="A115" s="199"/>
      <c r="B115" s="214"/>
      <c r="C115" s="200"/>
      <c r="D115" s="200"/>
      <c r="E115" s="200"/>
      <c r="F115" s="159"/>
      <c r="G115" s="221"/>
      <c r="H115" s="221"/>
      <c r="I115" s="221"/>
      <c r="J115" s="221"/>
      <c r="K115" s="221"/>
      <c r="L115" s="221"/>
      <c r="M115" s="217"/>
      <c r="N115" s="219"/>
      <c r="O115" s="140"/>
      <c r="P115" s="221"/>
      <c r="Q115" s="99" t="s">
        <v>82</v>
      </c>
      <c r="R115" s="99" t="s">
        <v>12</v>
      </c>
      <c r="S115" s="99"/>
      <c r="T115" s="18" t="s">
        <v>48</v>
      </c>
      <c r="U115" s="18" t="s">
        <v>48</v>
      </c>
      <c r="V115" s="18" t="s">
        <v>48</v>
      </c>
      <c r="W115" s="18" t="s">
        <v>48</v>
      </c>
      <c r="X115" s="18" t="s">
        <v>48</v>
      </c>
      <c r="Y115" s="99">
        <v>1</v>
      </c>
      <c r="Z115" s="18" t="s">
        <v>48</v>
      </c>
      <c r="AA115" s="18"/>
      <c r="AB115" s="18" t="s">
        <v>48</v>
      </c>
      <c r="AC115" s="29"/>
      <c r="AD115" s="29"/>
      <c r="AE115" s="29"/>
      <c r="AF115" s="29"/>
      <c r="AG115" s="29"/>
      <c r="AH115" s="29"/>
      <c r="AI115" s="29"/>
      <c r="AJ115" s="29"/>
      <c r="AK115" s="29"/>
      <c r="AL115" s="29"/>
      <c r="AM115" s="29"/>
      <c r="AN115" s="29"/>
      <c r="AO115" s="29"/>
      <c r="AP115" s="29"/>
      <c r="AQ115" s="29"/>
      <c r="AR115" s="29"/>
      <c r="AS115" s="29"/>
      <c r="AT115" s="29"/>
      <c r="AU115" s="29"/>
      <c r="AV115" s="29"/>
      <c r="AW115" s="29"/>
      <c r="AX115" s="29"/>
      <c r="AY115" s="29"/>
      <c r="AZ115" s="29"/>
      <c r="BA115" s="29"/>
      <c r="BB115" s="29"/>
    </row>
    <row r="116" spans="1:54" s="22" customFormat="1" ht="225.75" customHeight="1" x14ac:dyDescent="0.4">
      <c r="A116" s="199"/>
      <c r="B116" s="214"/>
      <c r="C116" s="105"/>
      <c r="D116" s="105"/>
      <c r="E116" s="105"/>
      <c r="F116" s="89" t="s">
        <v>32</v>
      </c>
      <c r="G116" s="106">
        <f>H116+I116+J116+K116+L116+M116+N116</f>
        <v>30612.53</v>
      </c>
      <c r="H116" s="106">
        <v>0</v>
      </c>
      <c r="I116" s="106">
        <v>0</v>
      </c>
      <c r="J116" s="106">
        <v>14286</v>
      </c>
      <c r="K116" s="106">
        <v>0</v>
      </c>
      <c r="L116" s="106">
        <v>0</v>
      </c>
      <c r="M116" s="127">
        <v>16326.53</v>
      </c>
      <c r="N116" s="137">
        <v>0</v>
      </c>
      <c r="O116" s="139">
        <v>0</v>
      </c>
      <c r="P116" s="106">
        <v>0</v>
      </c>
      <c r="Q116" s="42"/>
      <c r="R116" s="43"/>
      <c r="S116" s="114"/>
      <c r="T116" s="114"/>
      <c r="U116" s="114"/>
      <c r="V116" s="114"/>
      <c r="W116" s="114"/>
      <c r="X116" s="114"/>
      <c r="Y116" s="114"/>
      <c r="Z116" s="114"/>
      <c r="AA116" s="114"/>
      <c r="AB116" s="114"/>
      <c r="AC116" s="29"/>
      <c r="AD116" s="29"/>
      <c r="AE116" s="29"/>
      <c r="AF116" s="29"/>
      <c r="AG116" s="29"/>
      <c r="AH116" s="29"/>
      <c r="AI116" s="29"/>
      <c r="AJ116" s="29"/>
      <c r="AK116" s="29"/>
      <c r="AL116" s="29"/>
      <c r="AM116" s="29"/>
      <c r="AN116" s="29"/>
      <c r="AO116" s="29"/>
      <c r="AP116" s="29"/>
      <c r="AQ116" s="29"/>
      <c r="AR116" s="29"/>
      <c r="AS116" s="29"/>
      <c r="AT116" s="29"/>
      <c r="AU116" s="29"/>
      <c r="AV116" s="29"/>
      <c r="AW116" s="29"/>
      <c r="AX116" s="29"/>
      <c r="AY116" s="29"/>
      <c r="AZ116" s="29"/>
      <c r="BA116" s="29"/>
      <c r="BB116" s="29"/>
    </row>
    <row r="117" spans="1:54" s="22" customFormat="1" ht="143.25" customHeight="1" x14ac:dyDescent="0.4">
      <c r="A117" s="200"/>
      <c r="B117" s="215"/>
      <c r="C117" s="105"/>
      <c r="D117" s="105"/>
      <c r="E117" s="38"/>
      <c r="F117" s="18" t="s">
        <v>33</v>
      </c>
      <c r="G117" s="39">
        <f>H117+I117+J117+K117+L117+M117+N117</f>
        <v>1500000</v>
      </c>
      <c r="H117" s="39">
        <v>0</v>
      </c>
      <c r="I117" s="39">
        <v>0</v>
      </c>
      <c r="J117" s="39">
        <v>700000</v>
      </c>
      <c r="K117" s="39">
        <v>0</v>
      </c>
      <c r="L117" s="39">
        <v>0</v>
      </c>
      <c r="M117" s="128">
        <v>800000</v>
      </c>
      <c r="N117" s="40">
        <v>0</v>
      </c>
      <c r="O117" s="39">
        <v>0</v>
      </c>
      <c r="P117" s="39">
        <v>0</v>
      </c>
      <c r="Q117" s="100"/>
      <c r="R117" s="100"/>
      <c r="S117" s="100"/>
      <c r="T117" s="100"/>
      <c r="U117" s="100"/>
      <c r="V117" s="100"/>
      <c r="W117" s="100"/>
      <c r="X117" s="100"/>
      <c r="Y117" s="100"/>
      <c r="Z117" s="100"/>
      <c r="AA117" s="112"/>
      <c r="AB117" s="112"/>
      <c r="AC117" s="29"/>
      <c r="AD117" s="29"/>
      <c r="AE117" s="29"/>
      <c r="AF117" s="29"/>
      <c r="AG117" s="29"/>
      <c r="AH117" s="29"/>
      <c r="AI117" s="29"/>
      <c r="AJ117" s="29"/>
      <c r="AK117" s="29"/>
      <c r="AL117" s="29"/>
      <c r="AM117" s="29"/>
      <c r="AN117" s="29"/>
      <c r="AO117" s="29"/>
      <c r="AP117" s="29"/>
      <c r="AQ117" s="29"/>
      <c r="AR117" s="29"/>
      <c r="AS117" s="29"/>
      <c r="AT117" s="29"/>
      <c r="AU117" s="29"/>
      <c r="AV117" s="29"/>
      <c r="AW117" s="29"/>
      <c r="AX117" s="29"/>
      <c r="AY117" s="29"/>
      <c r="AZ117" s="29"/>
      <c r="BA117" s="29"/>
      <c r="BB117" s="29"/>
    </row>
    <row r="118" spans="1:54" s="22" customFormat="1" ht="104.25" customHeight="1" x14ac:dyDescent="0.4">
      <c r="A118" s="198"/>
      <c r="B118" s="213" t="s">
        <v>83</v>
      </c>
      <c r="C118" s="105"/>
      <c r="D118" s="105"/>
      <c r="E118" s="105"/>
      <c r="F118" s="89" t="s">
        <v>26</v>
      </c>
      <c r="G118" s="106">
        <f t="shared" ref="G118:M118" si="33">G119+G120</f>
        <v>1463233.36</v>
      </c>
      <c r="H118" s="106">
        <f t="shared" si="33"/>
        <v>0</v>
      </c>
      <c r="I118" s="106">
        <f t="shared" si="33"/>
        <v>0</v>
      </c>
      <c r="J118" s="106">
        <f t="shared" si="33"/>
        <v>0</v>
      </c>
      <c r="K118" s="106">
        <f t="shared" si="33"/>
        <v>1463233.36</v>
      </c>
      <c r="L118" s="106">
        <f t="shared" si="33"/>
        <v>0</v>
      </c>
      <c r="M118" s="127">
        <f t="shared" si="33"/>
        <v>0</v>
      </c>
      <c r="N118" s="137">
        <v>0</v>
      </c>
      <c r="O118" s="139">
        <v>0</v>
      </c>
      <c r="P118" s="106">
        <v>0</v>
      </c>
      <c r="Q118" s="89"/>
      <c r="R118" s="89"/>
      <c r="S118" s="89"/>
      <c r="T118" s="89"/>
      <c r="U118" s="89"/>
      <c r="V118" s="89"/>
      <c r="W118" s="89"/>
      <c r="X118" s="89"/>
      <c r="Y118" s="89"/>
      <c r="Z118" s="97"/>
      <c r="AA118" s="97"/>
      <c r="AB118" s="97"/>
      <c r="AC118" s="29"/>
      <c r="AD118" s="29"/>
      <c r="AE118" s="29"/>
      <c r="AF118" s="29"/>
      <c r="AG118" s="29"/>
      <c r="AH118" s="29"/>
      <c r="AI118" s="29"/>
      <c r="AJ118" s="29"/>
      <c r="AK118" s="29"/>
      <c r="AL118" s="29"/>
      <c r="AM118" s="29"/>
      <c r="AN118" s="29"/>
      <c r="AO118" s="29"/>
      <c r="AP118" s="29"/>
      <c r="AQ118" s="29"/>
      <c r="AR118" s="29"/>
      <c r="AS118" s="29"/>
      <c r="AT118" s="29"/>
      <c r="AU118" s="29"/>
      <c r="AV118" s="29"/>
      <c r="AW118" s="29"/>
      <c r="AX118" s="29"/>
      <c r="AY118" s="29"/>
      <c r="AZ118" s="29"/>
      <c r="BA118" s="29"/>
      <c r="BB118" s="29"/>
    </row>
    <row r="119" spans="1:54" s="22" customFormat="1" ht="225.75" customHeight="1" x14ac:dyDescent="0.4">
      <c r="A119" s="199"/>
      <c r="B119" s="214"/>
      <c r="C119" s="105"/>
      <c r="D119" s="105"/>
      <c r="E119" s="105"/>
      <c r="F119" s="89" t="s">
        <v>32</v>
      </c>
      <c r="G119" s="106">
        <f>H119+I119+J119+K119+L119+M119+N119</f>
        <v>1463233.36</v>
      </c>
      <c r="H119" s="106">
        <v>0</v>
      </c>
      <c r="I119" s="106">
        <v>0</v>
      </c>
      <c r="J119" s="106">
        <v>0</v>
      </c>
      <c r="K119" s="106">
        <f>600000+300000-600000+1041771.66+292400-5657-165281.3</f>
        <v>1463233.36</v>
      </c>
      <c r="L119" s="106">
        <v>0</v>
      </c>
      <c r="M119" s="127">
        <v>0</v>
      </c>
      <c r="N119" s="137">
        <v>0</v>
      </c>
      <c r="O119" s="139">
        <v>0</v>
      </c>
      <c r="P119" s="106">
        <v>0</v>
      </c>
      <c r="Q119" s="89"/>
      <c r="R119" s="89"/>
      <c r="S119" s="89"/>
      <c r="T119" s="89"/>
      <c r="U119" s="89"/>
      <c r="V119" s="89"/>
      <c r="W119" s="89"/>
      <c r="X119" s="89"/>
      <c r="Y119" s="89"/>
      <c r="Z119" s="97"/>
      <c r="AA119" s="97"/>
      <c r="AB119" s="97"/>
      <c r="AC119" s="29"/>
      <c r="AD119" s="29"/>
      <c r="AE119" s="29"/>
      <c r="AF119" s="29"/>
      <c r="AG119" s="29"/>
      <c r="AH119" s="29"/>
      <c r="AI119" s="29"/>
      <c r="AJ119" s="29"/>
      <c r="AK119" s="29"/>
      <c r="AL119" s="29"/>
      <c r="AM119" s="29"/>
      <c r="AN119" s="29"/>
      <c r="AO119" s="29"/>
      <c r="AP119" s="29"/>
      <c r="AQ119" s="29"/>
      <c r="AR119" s="29"/>
      <c r="AS119" s="29"/>
      <c r="AT119" s="29"/>
      <c r="AU119" s="29"/>
      <c r="AV119" s="29"/>
      <c r="AW119" s="29"/>
      <c r="AX119" s="29"/>
      <c r="AY119" s="29"/>
      <c r="AZ119" s="29"/>
      <c r="BA119" s="29"/>
      <c r="BB119" s="29"/>
    </row>
    <row r="120" spans="1:54" s="22" customFormat="1" ht="143.25" customHeight="1" x14ac:dyDescent="0.4">
      <c r="A120" s="200"/>
      <c r="B120" s="215"/>
      <c r="C120" s="105"/>
      <c r="D120" s="105"/>
      <c r="E120" s="38"/>
      <c r="F120" s="18" t="s">
        <v>33</v>
      </c>
      <c r="G120" s="39">
        <f>H120+I120+J120+K120+L120+M120+N120</f>
        <v>0</v>
      </c>
      <c r="H120" s="39">
        <v>0</v>
      </c>
      <c r="I120" s="39">
        <v>0</v>
      </c>
      <c r="J120" s="39">
        <v>0</v>
      </c>
      <c r="K120" s="39">
        <v>0</v>
      </c>
      <c r="L120" s="39">
        <v>0</v>
      </c>
      <c r="M120" s="128">
        <v>0</v>
      </c>
      <c r="N120" s="40">
        <v>0</v>
      </c>
      <c r="O120" s="39">
        <v>0</v>
      </c>
      <c r="P120" s="39">
        <v>0</v>
      </c>
      <c r="Q120" s="89"/>
      <c r="R120" s="89"/>
      <c r="S120" s="89"/>
      <c r="T120" s="89"/>
      <c r="U120" s="89"/>
      <c r="V120" s="89"/>
      <c r="W120" s="89"/>
      <c r="X120" s="89"/>
      <c r="Y120" s="89"/>
      <c r="Z120" s="97"/>
      <c r="AA120" s="97"/>
      <c r="AB120" s="97"/>
      <c r="AC120" s="29"/>
      <c r="AD120" s="29"/>
      <c r="AE120" s="29"/>
      <c r="AF120" s="29"/>
      <c r="AG120" s="29"/>
      <c r="AH120" s="29"/>
      <c r="AI120" s="29"/>
      <c r="AJ120" s="29"/>
      <c r="AK120" s="29"/>
      <c r="AL120" s="29"/>
      <c r="AM120" s="29"/>
      <c r="AN120" s="29"/>
      <c r="AO120" s="29"/>
      <c r="AP120" s="29"/>
      <c r="AQ120" s="29"/>
      <c r="AR120" s="29"/>
      <c r="AS120" s="29"/>
      <c r="AT120" s="29"/>
      <c r="AU120" s="29"/>
      <c r="AV120" s="29"/>
      <c r="AW120" s="29"/>
      <c r="AX120" s="29"/>
      <c r="AY120" s="29"/>
      <c r="AZ120" s="29"/>
      <c r="BA120" s="29"/>
      <c r="BB120" s="29"/>
    </row>
    <row r="121" spans="1:54" s="22" customFormat="1" ht="143.25" customHeight="1" x14ac:dyDescent="0.4">
      <c r="A121" s="198"/>
      <c r="B121" s="213" t="s">
        <v>84</v>
      </c>
      <c r="C121" s="105"/>
      <c r="D121" s="105"/>
      <c r="E121" s="105"/>
      <c r="F121" s="89" t="s">
        <v>26</v>
      </c>
      <c r="G121" s="106">
        <f t="shared" ref="G121:M121" si="34">G122+G123</f>
        <v>5594756.2000000002</v>
      </c>
      <c r="H121" s="106">
        <f t="shared" si="34"/>
        <v>0</v>
      </c>
      <c r="I121" s="106">
        <f t="shared" si="34"/>
        <v>0</v>
      </c>
      <c r="J121" s="106">
        <f t="shared" si="34"/>
        <v>0</v>
      </c>
      <c r="K121" s="106">
        <f t="shared" si="34"/>
        <v>0</v>
      </c>
      <c r="L121" s="106">
        <f t="shared" si="34"/>
        <v>5594756.2000000002</v>
      </c>
      <c r="M121" s="127">
        <f t="shared" si="34"/>
        <v>0</v>
      </c>
      <c r="N121" s="137">
        <v>0</v>
      </c>
      <c r="O121" s="139">
        <v>0</v>
      </c>
      <c r="P121" s="106">
        <v>0</v>
      </c>
      <c r="Q121" s="89"/>
      <c r="R121" s="89"/>
      <c r="S121" s="89"/>
      <c r="T121" s="89"/>
      <c r="U121" s="89"/>
      <c r="V121" s="89"/>
      <c r="W121" s="89"/>
      <c r="X121" s="89"/>
      <c r="Y121" s="89"/>
      <c r="Z121" s="97"/>
      <c r="AA121" s="97"/>
      <c r="AB121" s="97"/>
      <c r="AC121" s="29"/>
      <c r="AD121" s="29"/>
      <c r="AE121" s="29"/>
      <c r="AF121" s="29"/>
      <c r="AG121" s="29"/>
      <c r="AH121" s="29"/>
      <c r="AI121" s="29"/>
      <c r="AJ121" s="29"/>
      <c r="AK121" s="29"/>
      <c r="AL121" s="29"/>
      <c r="AM121" s="29"/>
      <c r="AN121" s="29"/>
      <c r="AO121" s="29"/>
      <c r="AP121" s="29"/>
      <c r="AQ121" s="29"/>
      <c r="AR121" s="29"/>
      <c r="AS121" s="29"/>
      <c r="AT121" s="29"/>
      <c r="AU121" s="29"/>
      <c r="AV121" s="29"/>
      <c r="AW121" s="29"/>
      <c r="AX121" s="29"/>
      <c r="AY121" s="29"/>
      <c r="AZ121" s="29"/>
      <c r="BA121" s="29"/>
      <c r="BB121" s="29"/>
    </row>
    <row r="122" spans="1:54" s="22" customFormat="1" ht="143.25" customHeight="1" x14ac:dyDescent="0.4">
      <c r="A122" s="199"/>
      <c r="B122" s="214"/>
      <c r="C122" s="105"/>
      <c r="D122" s="105"/>
      <c r="E122" s="105"/>
      <c r="F122" s="89" t="s">
        <v>32</v>
      </c>
      <c r="G122" s="106">
        <f>H122+I122+J122+K122+L122+M122+N122</f>
        <v>5594756.2000000002</v>
      </c>
      <c r="H122" s="106">
        <v>0</v>
      </c>
      <c r="I122" s="106">
        <v>0</v>
      </c>
      <c r="J122" s="106">
        <v>0</v>
      </c>
      <c r="K122" s="106">
        <v>0</v>
      </c>
      <c r="L122" s="106">
        <f>500000+500000-290862.92+5700000+1091318+67400-50000-326984-50000-1546114.88</f>
        <v>5594756.2000000002</v>
      </c>
      <c r="M122" s="127">
        <v>0</v>
      </c>
      <c r="N122" s="137">
        <v>0</v>
      </c>
      <c r="O122" s="139">
        <v>0</v>
      </c>
      <c r="P122" s="106">
        <v>0</v>
      </c>
      <c r="Q122" s="89"/>
      <c r="R122" s="89"/>
      <c r="S122" s="89"/>
      <c r="T122" s="89"/>
      <c r="U122" s="89"/>
      <c r="V122" s="89"/>
      <c r="W122" s="89"/>
      <c r="X122" s="89"/>
      <c r="Y122" s="89"/>
      <c r="Z122" s="97"/>
      <c r="AA122" s="97"/>
      <c r="AB122" s="97"/>
      <c r="AC122" s="29"/>
      <c r="AD122" s="29"/>
      <c r="AE122" s="29"/>
      <c r="AF122" s="29"/>
      <c r="AG122" s="29"/>
      <c r="AH122" s="29"/>
      <c r="AI122" s="29"/>
      <c r="AJ122" s="29"/>
      <c r="AK122" s="29"/>
      <c r="AL122" s="29"/>
      <c r="AM122" s="29"/>
      <c r="AN122" s="29"/>
      <c r="AO122" s="29"/>
      <c r="AP122" s="29"/>
      <c r="AQ122" s="29"/>
      <c r="AR122" s="29"/>
      <c r="AS122" s="29"/>
      <c r="AT122" s="29"/>
      <c r="AU122" s="29"/>
      <c r="AV122" s="29"/>
      <c r="AW122" s="29"/>
      <c r="AX122" s="29"/>
      <c r="AY122" s="29"/>
      <c r="AZ122" s="29"/>
      <c r="BA122" s="29"/>
      <c r="BB122" s="29"/>
    </row>
    <row r="123" spans="1:54" s="22" customFormat="1" ht="143.25" customHeight="1" x14ac:dyDescent="0.4">
      <c r="A123" s="200"/>
      <c r="B123" s="215"/>
      <c r="C123" s="105"/>
      <c r="D123" s="105"/>
      <c r="E123" s="38"/>
      <c r="F123" s="18" t="s">
        <v>33</v>
      </c>
      <c r="G123" s="39">
        <f>H123+I123+J123+K123+L123+M123+N123</f>
        <v>0</v>
      </c>
      <c r="H123" s="39">
        <v>0</v>
      </c>
      <c r="I123" s="39">
        <v>0</v>
      </c>
      <c r="J123" s="39">
        <v>0</v>
      </c>
      <c r="K123" s="39">
        <v>0</v>
      </c>
      <c r="L123" s="39">
        <v>0</v>
      </c>
      <c r="M123" s="128">
        <v>0</v>
      </c>
      <c r="N123" s="40">
        <v>0</v>
      </c>
      <c r="O123" s="39">
        <v>0</v>
      </c>
      <c r="P123" s="39">
        <v>0</v>
      </c>
      <c r="Q123" s="89"/>
      <c r="R123" s="89"/>
      <c r="S123" s="89"/>
      <c r="T123" s="89"/>
      <c r="U123" s="89"/>
      <c r="V123" s="89"/>
      <c r="W123" s="89"/>
      <c r="X123" s="89"/>
      <c r="Y123" s="89"/>
      <c r="Z123" s="97"/>
      <c r="AA123" s="97"/>
      <c r="AB123" s="97"/>
      <c r="AC123" s="29"/>
      <c r="AD123" s="29"/>
      <c r="AE123" s="29"/>
      <c r="AF123" s="29"/>
      <c r="AG123" s="29"/>
      <c r="AH123" s="29"/>
      <c r="AI123" s="29"/>
      <c r="AJ123" s="29"/>
      <c r="AK123" s="29"/>
      <c r="AL123" s="29"/>
      <c r="AM123" s="29"/>
      <c r="AN123" s="29"/>
      <c r="AO123" s="29"/>
      <c r="AP123" s="29"/>
      <c r="AQ123" s="29"/>
      <c r="AR123" s="29"/>
      <c r="AS123" s="29"/>
      <c r="AT123" s="29"/>
      <c r="AU123" s="29"/>
      <c r="AV123" s="29"/>
      <c r="AW123" s="29"/>
      <c r="AX123" s="29"/>
      <c r="AY123" s="29"/>
      <c r="AZ123" s="29"/>
      <c r="BA123" s="29"/>
      <c r="BB123" s="29"/>
    </row>
    <row r="124" spans="1:54" s="22" customFormat="1" ht="143.25" customHeight="1" x14ac:dyDescent="0.4">
      <c r="A124" s="198"/>
      <c r="B124" s="213" t="s">
        <v>85</v>
      </c>
      <c r="C124" s="105"/>
      <c r="D124" s="105"/>
      <c r="E124" s="105"/>
      <c r="F124" s="89" t="s">
        <v>26</v>
      </c>
      <c r="G124" s="106">
        <f t="shared" ref="G124:M124" si="35">G125+G126</f>
        <v>213587</v>
      </c>
      <c r="H124" s="106">
        <f t="shared" si="35"/>
        <v>0</v>
      </c>
      <c r="I124" s="106">
        <f t="shared" si="35"/>
        <v>0</v>
      </c>
      <c r="J124" s="106">
        <f t="shared" si="35"/>
        <v>0</v>
      </c>
      <c r="K124" s="106">
        <f t="shared" si="35"/>
        <v>0</v>
      </c>
      <c r="L124" s="106">
        <f t="shared" si="35"/>
        <v>213587</v>
      </c>
      <c r="M124" s="127">
        <f t="shared" si="35"/>
        <v>0</v>
      </c>
      <c r="N124" s="137">
        <v>0</v>
      </c>
      <c r="O124" s="139">
        <v>0</v>
      </c>
      <c r="P124" s="106">
        <v>0</v>
      </c>
      <c r="Q124" s="89"/>
      <c r="R124" s="89"/>
      <c r="S124" s="89"/>
      <c r="T124" s="89"/>
      <c r="U124" s="89"/>
      <c r="V124" s="89"/>
      <c r="W124" s="89"/>
      <c r="X124" s="89"/>
      <c r="Y124" s="89"/>
      <c r="Z124" s="97"/>
      <c r="AA124" s="97"/>
      <c r="AB124" s="97"/>
      <c r="AC124" s="29"/>
      <c r="AD124" s="29"/>
      <c r="AE124" s="29"/>
      <c r="AF124" s="29"/>
      <c r="AG124" s="29"/>
      <c r="AH124" s="29"/>
      <c r="AI124" s="29"/>
      <c r="AJ124" s="29"/>
      <c r="AK124" s="29"/>
      <c r="AL124" s="29"/>
      <c r="AM124" s="29"/>
      <c r="AN124" s="29"/>
      <c r="AO124" s="29"/>
      <c r="AP124" s="29"/>
      <c r="AQ124" s="29"/>
      <c r="AR124" s="29"/>
      <c r="AS124" s="29"/>
      <c r="AT124" s="29"/>
      <c r="AU124" s="29"/>
      <c r="AV124" s="29"/>
      <c r="AW124" s="29"/>
      <c r="AX124" s="29"/>
      <c r="AY124" s="29"/>
      <c r="AZ124" s="29"/>
      <c r="BA124" s="29"/>
      <c r="BB124" s="29"/>
    </row>
    <row r="125" spans="1:54" s="22" customFormat="1" ht="143.25" customHeight="1" x14ac:dyDescent="0.4">
      <c r="A125" s="199"/>
      <c r="B125" s="214"/>
      <c r="C125" s="105"/>
      <c r="D125" s="105"/>
      <c r="E125" s="105"/>
      <c r="F125" s="89" t="s">
        <v>32</v>
      </c>
      <c r="G125" s="106">
        <f>H125+I125+J125+K125+L125+M125+N125</f>
        <v>0</v>
      </c>
      <c r="H125" s="106">
        <v>0</v>
      </c>
      <c r="I125" s="106">
        <v>0</v>
      </c>
      <c r="J125" s="106">
        <v>0</v>
      </c>
      <c r="K125" s="106">
        <v>0</v>
      </c>
      <c r="L125" s="106">
        <v>0</v>
      </c>
      <c r="M125" s="127">
        <v>0</v>
      </c>
      <c r="N125" s="137">
        <v>0</v>
      </c>
      <c r="O125" s="139">
        <v>0</v>
      </c>
      <c r="P125" s="106">
        <v>0</v>
      </c>
      <c r="Q125" s="89"/>
      <c r="R125" s="89"/>
      <c r="S125" s="89"/>
      <c r="T125" s="89"/>
      <c r="U125" s="89"/>
      <c r="V125" s="89"/>
      <c r="W125" s="89"/>
      <c r="X125" s="89"/>
      <c r="Y125" s="89"/>
      <c r="Z125" s="97"/>
      <c r="AA125" s="97"/>
      <c r="AB125" s="97"/>
      <c r="AC125" s="29"/>
      <c r="AD125" s="29"/>
      <c r="AE125" s="29"/>
      <c r="AF125" s="29"/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  <c r="AQ125" s="29"/>
      <c r="AR125" s="29"/>
      <c r="AS125" s="29"/>
      <c r="AT125" s="29"/>
      <c r="AU125" s="29"/>
      <c r="AV125" s="29"/>
      <c r="AW125" s="29"/>
      <c r="AX125" s="29"/>
      <c r="AY125" s="29"/>
      <c r="AZ125" s="29"/>
      <c r="BA125" s="29"/>
      <c r="BB125" s="29"/>
    </row>
    <row r="126" spans="1:54" s="22" customFormat="1" ht="143.25" customHeight="1" x14ac:dyDescent="0.4">
      <c r="A126" s="200"/>
      <c r="B126" s="215"/>
      <c r="C126" s="105"/>
      <c r="D126" s="105"/>
      <c r="E126" s="38"/>
      <c r="F126" s="18" t="s">
        <v>33</v>
      </c>
      <c r="G126" s="39">
        <f>H126+I126+J126+K126+L126+M126+N126</f>
        <v>213587</v>
      </c>
      <c r="H126" s="39">
        <v>0</v>
      </c>
      <c r="I126" s="39">
        <v>0</v>
      </c>
      <c r="J126" s="39">
        <v>0</v>
      </c>
      <c r="K126" s="39">
        <v>0</v>
      </c>
      <c r="L126" s="39">
        <f>330000-116413</f>
        <v>213587</v>
      </c>
      <c r="M126" s="128">
        <v>0</v>
      </c>
      <c r="N126" s="40">
        <v>0</v>
      </c>
      <c r="O126" s="40">
        <v>0</v>
      </c>
      <c r="P126" s="39">
        <v>0</v>
      </c>
      <c r="Q126" s="89"/>
      <c r="R126" s="89"/>
      <c r="S126" s="89"/>
      <c r="T126" s="89"/>
      <c r="U126" s="89"/>
      <c r="V126" s="89"/>
      <c r="W126" s="89"/>
      <c r="X126" s="89"/>
      <c r="Y126" s="89"/>
      <c r="Z126" s="97"/>
      <c r="AA126" s="97"/>
      <c r="AB126" s="97"/>
      <c r="AC126" s="29"/>
      <c r="AD126" s="29"/>
      <c r="AE126" s="29"/>
      <c r="AF126" s="29"/>
      <c r="AG126" s="29"/>
      <c r="AH126" s="29"/>
      <c r="AI126" s="29"/>
      <c r="AJ126" s="29"/>
      <c r="AK126" s="29"/>
      <c r="AL126" s="29"/>
      <c r="AM126" s="29"/>
      <c r="AN126" s="29"/>
      <c r="AO126" s="29"/>
      <c r="AP126" s="29"/>
      <c r="AQ126" s="29"/>
      <c r="AR126" s="29"/>
      <c r="AS126" s="29"/>
      <c r="AT126" s="29"/>
      <c r="AU126" s="29"/>
      <c r="AV126" s="29"/>
      <c r="AW126" s="29"/>
      <c r="AX126" s="29"/>
      <c r="AY126" s="29"/>
      <c r="AZ126" s="29"/>
      <c r="BA126" s="29"/>
      <c r="BB126" s="29"/>
    </row>
    <row r="127" spans="1:54" s="22" customFormat="1" ht="283.5" customHeight="1" x14ac:dyDescent="0.4">
      <c r="A127" s="95"/>
      <c r="B127" s="89" t="s">
        <v>86</v>
      </c>
      <c r="C127" s="95">
        <v>2019</v>
      </c>
      <c r="D127" s="95">
        <v>2027</v>
      </c>
      <c r="E127" s="95"/>
      <c r="F127" s="15" t="s">
        <v>28</v>
      </c>
      <c r="G127" s="44" t="s">
        <v>28</v>
      </c>
      <c r="H127" s="44" t="s">
        <v>28</v>
      </c>
      <c r="I127" s="44" t="s">
        <v>28</v>
      </c>
      <c r="J127" s="44" t="s">
        <v>28</v>
      </c>
      <c r="K127" s="44" t="s">
        <v>28</v>
      </c>
      <c r="L127" s="44" t="s">
        <v>28</v>
      </c>
      <c r="M127" s="129" t="s">
        <v>28</v>
      </c>
      <c r="N127" s="143" t="s">
        <v>28</v>
      </c>
      <c r="O127" s="143" t="s">
        <v>28</v>
      </c>
      <c r="P127" s="44" t="s">
        <v>28</v>
      </c>
      <c r="Q127" s="89" t="s">
        <v>21</v>
      </c>
      <c r="R127" s="89" t="s">
        <v>21</v>
      </c>
      <c r="S127" s="89" t="s">
        <v>21</v>
      </c>
      <c r="T127" s="89" t="s">
        <v>21</v>
      </c>
      <c r="U127" s="89" t="s">
        <v>21</v>
      </c>
      <c r="V127" s="89" t="s">
        <v>21</v>
      </c>
      <c r="W127" s="89" t="s">
        <v>21</v>
      </c>
      <c r="X127" s="89" t="s">
        <v>21</v>
      </c>
      <c r="Y127" s="89" t="s">
        <v>21</v>
      </c>
      <c r="Z127" s="97" t="s">
        <v>21</v>
      </c>
      <c r="AA127" s="97" t="s">
        <v>21</v>
      </c>
      <c r="AB127" s="97" t="s">
        <v>21</v>
      </c>
      <c r="AC127" s="29"/>
      <c r="AD127" s="29"/>
      <c r="AE127" s="29"/>
      <c r="AF127" s="29"/>
      <c r="AG127" s="29"/>
      <c r="AH127" s="29"/>
      <c r="AI127" s="29"/>
      <c r="AJ127" s="29"/>
      <c r="AK127" s="29"/>
      <c r="AL127" s="29"/>
      <c r="AM127" s="29"/>
      <c r="AN127" s="29"/>
      <c r="AO127" s="29"/>
      <c r="AP127" s="29"/>
      <c r="AQ127" s="29"/>
      <c r="AR127" s="29"/>
      <c r="AS127" s="29"/>
      <c r="AT127" s="29"/>
      <c r="AU127" s="29"/>
      <c r="AV127" s="29"/>
      <c r="AW127" s="29"/>
      <c r="AX127" s="29"/>
      <c r="AY127" s="29"/>
      <c r="AZ127" s="29"/>
      <c r="BA127" s="29"/>
      <c r="BB127" s="29"/>
    </row>
    <row r="128" spans="1:54" s="47" customFormat="1" ht="111" customHeight="1" x14ac:dyDescent="0.4">
      <c r="A128" s="208"/>
      <c r="B128" s="154" t="s">
        <v>87</v>
      </c>
      <c r="C128" s="198"/>
      <c r="D128" s="198"/>
      <c r="E128" s="157" t="s">
        <v>40</v>
      </c>
      <c r="F128" s="89" t="s">
        <v>26</v>
      </c>
      <c r="G128" s="45">
        <f t="shared" ref="G128:L128" si="36">G129+G130</f>
        <v>25913970.649999999</v>
      </c>
      <c r="H128" s="45">
        <f t="shared" si="36"/>
        <v>2675786.77</v>
      </c>
      <c r="I128" s="45">
        <f t="shared" si="36"/>
        <v>2700097.16</v>
      </c>
      <c r="J128" s="45">
        <f t="shared" si="36"/>
        <v>3230753.1</v>
      </c>
      <c r="K128" s="45">
        <f t="shared" si="36"/>
        <v>3292891.35</v>
      </c>
      <c r="L128" s="45">
        <f t="shared" si="36"/>
        <v>4143872.09</v>
      </c>
      <c r="M128" s="130">
        <f>M129+M130</f>
        <v>4989599.18</v>
      </c>
      <c r="N128" s="46">
        <f t="shared" ref="N128:P128" si="37">N129+N130</f>
        <v>4880971</v>
      </c>
      <c r="O128" s="45">
        <f t="shared" si="37"/>
        <v>6983576.3799999999</v>
      </c>
      <c r="P128" s="45">
        <f t="shared" si="37"/>
        <v>4521838.38</v>
      </c>
      <c r="Q128" s="157" t="s">
        <v>88</v>
      </c>
      <c r="R128" s="157" t="s">
        <v>38</v>
      </c>
      <c r="S128" s="157"/>
      <c r="T128" s="157">
        <v>0.1</v>
      </c>
      <c r="U128" s="157">
        <v>0.1</v>
      </c>
      <c r="V128" s="157">
        <v>0.1</v>
      </c>
      <c r="W128" s="157">
        <v>0.1</v>
      </c>
      <c r="X128" s="157">
        <v>0.1</v>
      </c>
      <c r="Y128" s="157">
        <v>0.1</v>
      </c>
      <c r="Z128" s="201">
        <v>0.1</v>
      </c>
      <c r="AA128" s="201">
        <v>0.1</v>
      </c>
      <c r="AB128" s="201">
        <v>0.1</v>
      </c>
    </row>
    <row r="129" spans="1:54" s="22" customFormat="1" ht="232.5" customHeight="1" x14ac:dyDescent="0.4">
      <c r="A129" s="208"/>
      <c r="B129" s="155"/>
      <c r="C129" s="199"/>
      <c r="D129" s="199"/>
      <c r="E129" s="158"/>
      <c r="F129" s="98" t="s">
        <v>32</v>
      </c>
      <c r="G129" s="111">
        <f>SUM(H129:N129)</f>
        <v>16452739.02</v>
      </c>
      <c r="H129" s="111">
        <f t="shared" ref="H129:P129" si="38">H132+H135+H138+H141+H147+H153+H156</f>
        <v>2095573.87</v>
      </c>
      <c r="I129" s="111">
        <f t="shared" si="38"/>
        <v>2147184.94</v>
      </c>
      <c r="J129" s="111">
        <f t="shared" si="38"/>
        <v>2529198</v>
      </c>
      <c r="K129" s="111">
        <f t="shared" si="38"/>
        <v>2260966.85</v>
      </c>
      <c r="L129" s="111">
        <f t="shared" si="38"/>
        <v>2305888.7399999998</v>
      </c>
      <c r="M129" s="131">
        <f t="shared" si="38"/>
        <v>2694865.62</v>
      </c>
      <c r="N129" s="144">
        <f t="shared" si="38"/>
        <v>2419061</v>
      </c>
      <c r="O129" s="141">
        <f t="shared" si="38"/>
        <v>4521666.38</v>
      </c>
      <c r="P129" s="111">
        <f t="shared" si="38"/>
        <v>4521838.38</v>
      </c>
      <c r="Q129" s="158"/>
      <c r="R129" s="158"/>
      <c r="S129" s="158"/>
      <c r="T129" s="158"/>
      <c r="U129" s="158"/>
      <c r="V129" s="158"/>
      <c r="W129" s="158"/>
      <c r="X129" s="158"/>
      <c r="Y129" s="158"/>
      <c r="Z129" s="205"/>
      <c r="AA129" s="205"/>
      <c r="AB129" s="205"/>
      <c r="AC129" s="29"/>
      <c r="AD129" s="29"/>
      <c r="AE129" s="29"/>
      <c r="AF129" s="29"/>
      <c r="AG129" s="29"/>
      <c r="AH129" s="29"/>
      <c r="AI129" s="29"/>
      <c r="AJ129" s="29"/>
      <c r="AK129" s="29"/>
      <c r="AL129" s="29"/>
      <c r="AM129" s="29"/>
      <c r="AN129" s="29"/>
      <c r="AO129" s="29"/>
      <c r="AP129" s="29"/>
      <c r="AQ129" s="29"/>
      <c r="AR129" s="29"/>
      <c r="AS129" s="29"/>
      <c r="AT129" s="29"/>
      <c r="AU129" s="29"/>
      <c r="AV129" s="29"/>
      <c r="AW129" s="29"/>
      <c r="AX129" s="29"/>
      <c r="AY129" s="29"/>
      <c r="AZ129" s="29"/>
      <c r="BA129" s="29"/>
      <c r="BB129" s="29"/>
    </row>
    <row r="130" spans="1:54" s="47" customFormat="1" ht="159" customHeight="1" x14ac:dyDescent="0.4">
      <c r="A130" s="208"/>
      <c r="B130" s="156"/>
      <c r="C130" s="200"/>
      <c r="D130" s="200"/>
      <c r="E130" s="159"/>
      <c r="F130" s="41" t="s">
        <v>33</v>
      </c>
      <c r="G130" s="111">
        <f>SUM(H130:N130)</f>
        <v>9461231.6300000008</v>
      </c>
      <c r="H130" s="48">
        <f>H133+H136+H139+H142+H148+H154+H157</f>
        <v>580212.9</v>
      </c>
      <c r="I130" s="39">
        <f>I133+I136+I139+I142+I148+I154+I157</f>
        <v>552912.22</v>
      </c>
      <c r="J130" s="39">
        <f>J133+J136+J139+J142+J148+J154+J157</f>
        <v>701555.1</v>
      </c>
      <c r="K130" s="39">
        <f>K133+K136+K139+K142+K148+K154+K157</f>
        <v>1031924.5</v>
      </c>
      <c r="L130" s="39">
        <f>L133+L136+L139+L142+L148+L157</f>
        <v>1837983.3499999999</v>
      </c>
      <c r="M130" s="128">
        <f>M133+M136+M139+M142+M148+M154+M157</f>
        <v>2294733.56</v>
      </c>
      <c r="N130" s="145">
        <f>N133+N136+N139+N142+N148+N154+N157</f>
        <v>2461910</v>
      </c>
      <c r="O130" s="145">
        <f t="shared" ref="O130:P130" si="39">O133+O136+O139+O142+O148+O154+O157</f>
        <v>2461910</v>
      </c>
      <c r="P130" s="128">
        <f t="shared" si="39"/>
        <v>0</v>
      </c>
      <c r="Q130" s="159"/>
      <c r="R130" s="159"/>
      <c r="S130" s="159"/>
      <c r="T130" s="159"/>
      <c r="U130" s="159"/>
      <c r="V130" s="159"/>
      <c r="W130" s="159"/>
      <c r="X130" s="159"/>
      <c r="Y130" s="159"/>
      <c r="Z130" s="202"/>
      <c r="AA130" s="202"/>
      <c r="AB130" s="202"/>
    </row>
    <row r="131" spans="1:54" s="22" customFormat="1" ht="106.5" customHeight="1" x14ac:dyDescent="0.4">
      <c r="A131" s="198"/>
      <c r="B131" s="157" t="s">
        <v>89</v>
      </c>
      <c r="C131" s="198"/>
      <c r="D131" s="198"/>
      <c r="E131" s="198"/>
      <c r="F131" s="112" t="s">
        <v>26</v>
      </c>
      <c r="G131" s="49">
        <f t="shared" ref="G131:P131" si="40">G132+G133</f>
        <v>67950.5</v>
      </c>
      <c r="H131" s="50">
        <f t="shared" si="40"/>
        <v>22400.5</v>
      </c>
      <c r="I131" s="107">
        <f t="shared" si="40"/>
        <v>0</v>
      </c>
      <c r="J131" s="107">
        <f t="shared" si="40"/>
        <v>5550</v>
      </c>
      <c r="K131" s="107">
        <f t="shared" si="40"/>
        <v>20000</v>
      </c>
      <c r="L131" s="107">
        <f t="shared" si="40"/>
        <v>20000</v>
      </c>
      <c r="M131" s="132">
        <f t="shared" si="40"/>
        <v>0</v>
      </c>
      <c r="N131" s="138">
        <f t="shared" si="40"/>
        <v>0</v>
      </c>
      <c r="O131" s="140">
        <f t="shared" si="40"/>
        <v>0</v>
      </c>
      <c r="P131" s="107">
        <f t="shared" si="40"/>
        <v>0</v>
      </c>
      <c r="Q131" s="157" t="s">
        <v>27</v>
      </c>
      <c r="R131" s="157" t="s">
        <v>28</v>
      </c>
      <c r="S131" s="157" t="s">
        <v>29</v>
      </c>
      <c r="T131" s="157" t="s">
        <v>28</v>
      </c>
      <c r="U131" s="157" t="s">
        <v>30</v>
      </c>
      <c r="V131" s="157" t="s">
        <v>27</v>
      </c>
      <c r="W131" s="157" t="s">
        <v>31</v>
      </c>
      <c r="X131" s="157" t="s">
        <v>28</v>
      </c>
      <c r="Y131" s="157" t="s">
        <v>30</v>
      </c>
      <c r="Z131" s="201" t="s">
        <v>27</v>
      </c>
      <c r="AA131" s="201" t="s">
        <v>27</v>
      </c>
      <c r="AB131" s="201" t="s">
        <v>27</v>
      </c>
      <c r="AC131" s="29"/>
      <c r="AD131" s="29"/>
      <c r="AE131" s="29"/>
      <c r="AF131" s="29"/>
      <c r="AG131" s="29"/>
      <c r="AH131" s="29"/>
      <c r="AI131" s="29"/>
      <c r="AJ131" s="29"/>
      <c r="AK131" s="29"/>
      <c r="AL131" s="29"/>
      <c r="AM131" s="29"/>
      <c r="AN131" s="29"/>
      <c r="AO131" s="29"/>
      <c r="AP131" s="29"/>
      <c r="AQ131" s="29"/>
      <c r="AR131" s="29"/>
      <c r="AS131" s="29"/>
      <c r="AT131" s="29"/>
      <c r="AU131" s="29"/>
      <c r="AV131" s="29"/>
      <c r="AW131" s="29"/>
      <c r="AX131" s="29"/>
      <c r="AY131" s="29"/>
      <c r="AZ131" s="29"/>
      <c r="BA131" s="29"/>
      <c r="BB131" s="29"/>
    </row>
    <row r="132" spans="1:54" s="22" customFormat="1" ht="240.75" customHeight="1" x14ac:dyDescent="0.4">
      <c r="A132" s="199"/>
      <c r="B132" s="158"/>
      <c r="C132" s="199"/>
      <c r="D132" s="199"/>
      <c r="E132" s="199"/>
      <c r="F132" s="89" t="s">
        <v>32</v>
      </c>
      <c r="G132" s="107">
        <f>H132+I132+J132+K132+L132+M132+N132</f>
        <v>67950.5</v>
      </c>
      <c r="H132" s="28">
        <v>22400.5</v>
      </c>
      <c r="I132" s="27">
        <v>0</v>
      </c>
      <c r="J132" s="27">
        <f>9500-3000-950</f>
        <v>5550</v>
      </c>
      <c r="K132" s="27">
        <v>20000</v>
      </c>
      <c r="L132" s="27">
        <v>20000</v>
      </c>
      <c r="M132" s="125">
        <v>0</v>
      </c>
      <c r="N132" s="28">
        <v>0</v>
      </c>
      <c r="O132" s="27">
        <v>0</v>
      </c>
      <c r="P132" s="27">
        <v>0</v>
      </c>
      <c r="Q132" s="158"/>
      <c r="R132" s="158"/>
      <c r="S132" s="158"/>
      <c r="T132" s="158"/>
      <c r="U132" s="158"/>
      <c r="V132" s="158"/>
      <c r="W132" s="158"/>
      <c r="X132" s="158"/>
      <c r="Y132" s="158"/>
      <c r="Z132" s="205"/>
      <c r="AA132" s="205"/>
      <c r="AB132" s="205"/>
      <c r="AC132" s="29"/>
      <c r="AD132" s="29"/>
      <c r="AE132" s="29"/>
      <c r="AF132" s="29"/>
      <c r="AG132" s="29"/>
      <c r="AH132" s="29"/>
      <c r="AI132" s="29"/>
      <c r="AJ132" s="29"/>
      <c r="AK132" s="29"/>
      <c r="AL132" s="29"/>
      <c r="AM132" s="29"/>
      <c r="AN132" s="29"/>
      <c r="AO132" s="29"/>
      <c r="AP132" s="29"/>
      <c r="AQ132" s="29"/>
      <c r="AR132" s="29"/>
      <c r="AS132" s="29"/>
      <c r="AT132" s="29"/>
      <c r="AU132" s="29"/>
      <c r="AV132" s="29"/>
      <c r="AW132" s="29"/>
      <c r="AX132" s="29"/>
      <c r="AY132" s="29"/>
      <c r="AZ132" s="29"/>
      <c r="BA132" s="29"/>
      <c r="BB132" s="29"/>
    </row>
    <row r="133" spans="1:54" s="22" customFormat="1" ht="145.5" customHeight="1" x14ac:dyDescent="0.4">
      <c r="A133" s="200"/>
      <c r="B133" s="159"/>
      <c r="C133" s="200"/>
      <c r="D133" s="200"/>
      <c r="E133" s="200"/>
      <c r="F133" s="89" t="s">
        <v>33</v>
      </c>
      <c r="G133" s="27">
        <f>H133+I133+J133+K133+L133+M133+N133</f>
        <v>0</v>
      </c>
      <c r="H133" s="28" t="s">
        <v>35</v>
      </c>
      <c r="I133" s="27" t="s">
        <v>35</v>
      </c>
      <c r="J133" s="27" t="s">
        <v>35</v>
      </c>
      <c r="K133" s="27" t="s">
        <v>35</v>
      </c>
      <c r="L133" s="27" t="s">
        <v>35</v>
      </c>
      <c r="M133" s="125" t="s">
        <v>35</v>
      </c>
      <c r="N133" s="28" t="s">
        <v>35</v>
      </c>
      <c r="O133" s="27">
        <v>0</v>
      </c>
      <c r="P133" s="27" t="s">
        <v>35</v>
      </c>
      <c r="Q133" s="159"/>
      <c r="R133" s="159"/>
      <c r="S133" s="159"/>
      <c r="T133" s="159"/>
      <c r="U133" s="159"/>
      <c r="V133" s="159"/>
      <c r="W133" s="159"/>
      <c r="X133" s="159"/>
      <c r="Y133" s="159"/>
      <c r="Z133" s="202"/>
      <c r="AA133" s="202"/>
      <c r="AB133" s="202"/>
      <c r="AC133" s="29"/>
      <c r="AD133" s="29"/>
      <c r="AE133" s="29"/>
      <c r="AF133" s="29"/>
      <c r="AG133" s="29"/>
      <c r="AH133" s="29"/>
      <c r="AI133" s="29"/>
      <c r="AJ133" s="29"/>
      <c r="AK133" s="29"/>
      <c r="AL133" s="29"/>
      <c r="AM133" s="29"/>
      <c r="AN133" s="29"/>
      <c r="AO133" s="29"/>
      <c r="AP133" s="29"/>
      <c r="AQ133" s="29"/>
      <c r="AR133" s="29"/>
      <c r="AS133" s="29"/>
      <c r="AT133" s="29"/>
      <c r="AU133" s="29"/>
      <c r="AV133" s="29"/>
      <c r="AW133" s="29"/>
      <c r="AX133" s="29"/>
      <c r="AY133" s="29"/>
      <c r="AZ133" s="29"/>
      <c r="BA133" s="29"/>
      <c r="BB133" s="29"/>
    </row>
    <row r="134" spans="1:54" s="22" customFormat="1" ht="96" customHeight="1" x14ac:dyDescent="0.4">
      <c r="A134" s="208"/>
      <c r="B134" s="157" t="s">
        <v>90</v>
      </c>
      <c r="C134" s="198"/>
      <c r="D134" s="198"/>
      <c r="E134" s="198"/>
      <c r="F134" s="89" t="s">
        <v>26</v>
      </c>
      <c r="G134" s="27">
        <f t="shared" ref="G134:P134" si="41">G135+G136</f>
        <v>0</v>
      </c>
      <c r="H134" s="27">
        <f t="shared" si="41"/>
        <v>0</v>
      </c>
      <c r="I134" s="27">
        <f t="shared" si="41"/>
        <v>0</v>
      </c>
      <c r="J134" s="27">
        <f t="shared" si="41"/>
        <v>0</v>
      </c>
      <c r="K134" s="27">
        <f t="shared" si="41"/>
        <v>0</v>
      </c>
      <c r="L134" s="27">
        <f t="shared" si="41"/>
        <v>0</v>
      </c>
      <c r="M134" s="125">
        <f t="shared" si="41"/>
        <v>0</v>
      </c>
      <c r="N134" s="28">
        <f t="shared" si="41"/>
        <v>0</v>
      </c>
      <c r="O134" s="27">
        <f t="shared" si="41"/>
        <v>0</v>
      </c>
      <c r="P134" s="27">
        <f t="shared" si="41"/>
        <v>0</v>
      </c>
      <c r="Q134" s="157" t="s">
        <v>27</v>
      </c>
      <c r="R134" s="157" t="s">
        <v>28</v>
      </c>
      <c r="S134" s="157" t="s">
        <v>29</v>
      </c>
      <c r="T134" s="157" t="s">
        <v>28</v>
      </c>
      <c r="U134" s="157" t="s">
        <v>30</v>
      </c>
      <c r="V134" s="157" t="s">
        <v>27</v>
      </c>
      <c r="W134" s="157" t="s">
        <v>31</v>
      </c>
      <c r="X134" s="157" t="s">
        <v>28</v>
      </c>
      <c r="Y134" s="157" t="s">
        <v>30</v>
      </c>
      <c r="Z134" s="201" t="s">
        <v>27</v>
      </c>
      <c r="AA134" s="201" t="s">
        <v>27</v>
      </c>
      <c r="AB134" s="201" t="s">
        <v>27</v>
      </c>
      <c r="AC134" s="29"/>
      <c r="AD134" s="29"/>
      <c r="AE134" s="29"/>
      <c r="AF134" s="29"/>
      <c r="AG134" s="29"/>
      <c r="AH134" s="29"/>
      <c r="AI134" s="29"/>
      <c r="AJ134" s="29"/>
      <c r="AK134" s="29"/>
      <c r="AL134" s="29"/>
      <c r="AM134" s="29"/>
      <c r="AN134" s="29"/>
      <c r="AO134" s="29"/>
      <c r="AP134" s="29"/>
      <c r="AQ134" s="29"/>
      <c r="AR134" s="29"/>
      <c r="AS134" s="29"/>
      <c r="AT134" s="29"/>
      <c r="AU134" s="29"/>
      <c r="AV134" s="29"/>
      <c r="AW134" s="29"/>
      <c r="AX134" s="29"/>
      <c r="AY134" s="29"/>
      <c r="AZ134" s="29"/>
      <c r="BA134" s="29"/>
      <c r="BB134" s="29"/>
    </row>
    <row r="135" spans="1:54" s="22" customFormat="1" ht="214.5" customHeight="1" x14ac:dyDescent="0.4">
      <c r="A135" s="208"/>
      <c r="B135" s="158"/>
      <c r="C135" s="199"/>
      <c r="D135" s="199"/>
      <c r="E135" s="199"/>
      <c r="F135" s="89" t="s">
        <v>32</v>
      </c>
      <c r="G135" s="27">
        <f>SUM(H135:N135)</f>
        <v>0</v>
      </c>
      <c r="H135" s="28">
        <v>0</v>
      </c>
      <c r="I135" s="27" t="s">
        <v>35</v>
      </c>
      <c r="J135" s="28">
        <v>0</v>
      </c>
      <c r="K135" s="27" t="s">
        <v>35</v>
      </c>
      <c r="L135" s="27" t="s">
        <v>35</v>
      </c>
      <c r="M135" s="125" t="s">
        <v>35</v>
      </c>
      <c r="N135" s="28" t="s">
        <v>35</v>
      </c>
      <c r="O135" s="27">
        <v>0</v>
      </c>
      <c r="P135" s="27" t="s">
        <v>35</v>
      </c>
      <c r="Q135" s="158"/>
      <c r="R135" s="158"/>
      <c r="S135" s="158"/>
      <c r="T135" s="158"/>
      <c r="U135" s="158"/>
      <c r="V135" s="158"/>
      <c r="W135" s="158"/>
      <c r="X135" s="158"/>
      <c r="Y135" s="158"/>
      <c r="Z135" s="205"/>
      <c r="AA135" s="205"/>
      <c r="AB135" s="205"/>
      <c r="AC135" s="29"/>
      <c r="AD135" s="29"/>
      <c r="AE135" s="29"/>
      <c r="AF135" s="29"/>
      <c r="AG135" s="29"/>
      <c r="AH135" s="29"/>
      <c r="AI135" s="29"/>
      <c r="AJ135" s="29"/>
      <c r="AK135" s="29"/>
      <c r="AL135" s="29"/>
      <c r="AM135" s="29"/>
      <c r="AN135" s="29"/>
      <c r="AO135" s="29"/>
      <c r="AP135" s="29"/>
      <c r="AQ135" s="29"/>
      <c r="AR135" s="29"/>
      <c r="AS135" s="29"/>
      <c r="AT135" s="29"/>
      <c r="AU135" s="29"/>
      <c r="AV135" s="29"/>
      <c r="AW135" s="29"/>
      <c r="AX135" s="29"/>
      <c r="AY135" s="29"/>
      <c r="AZ135" s="29"/>
      <c r="BA135" s="29"/>
      <c r="BB135" s="29"/>
    </row>
    <row r="136" spans="1:54" s="22" customFormat="1" ht="174" customHeight="1" x14ac:dyDescent="0.4">
      <c r="A136" s="208"/>
      <c r="B136" s="159"/>
      <c r="C136" s="200"/>
      <c r="D136" s="200"/>
      <c r="E136" s="200"/>
      <c r="F136" s="89" t="s">
        <v>33</v>
      </c>
      <c r="G136" s="27">
        <f>SUM(H136:N136)</f>
        <v>0</v>
      </c>
      <c r="H136" s="28" t="s">
        <v>35</v>
      </c>
      <c r="I136" s="27" t="s">
        <v>35</v>
      </c>
      <c r="J136" s="27" t="s">
        <v>35</v>
      </c>
      <c r="K136" s="27" t="s">
        <v>35</v>
      </c>
      <c r="L136" s="27" t="s">
        <v>35</v>
      </c>
      <c r="M136" s="125" t="s">
        <v>35</v>
      </c>
      <c r="N136" s="28" t="s">
        <v>35</v>
      </c>
      <c r="O136" s="27">
        <v>0</v>
      </c>
      <c r="P136" s="27" t="s">
        <v>35</v>
      </c>
      <c r="Q136" s="159"/>
      <c r="R136" s="159"/>
      <c r="S136" s="159"/>
      <c r="T136" s="159"/>
      <c r="U136" s="159"/>
      <c r="V136" s="159"/>
      <c r="W136" s="159"/>
      <c r="X136" s="159"/>
      <c r="Y136" s="159"/>
      <c r="Z136" s="202"/>
      <c r="AA136" s="202"/>
      <c r="AB136" s="202"/>
      <c r="AC136" s="29"/>
      <c r="AD136" s="29"/>
      <c r="AE136" s="29"/>
      <c r="AF136" s="29"/>
      <c r="AG136" s="29"/>
      <c r="AH136" s="29"/>
      <c r="AI136" s="29"/>
      <c r="AJ136" s="29"/>
      <c r="AK136" s="29"/>
      <c r="AL136" s="29"/>
      <c r="AM136" s="29"/>
      <c r="AN136" s="29"/>
      <c r="AO136" s="29"/>
      <c r="AP136" s="29"/>
      <c r="AQ136" s="29"/>
      <c r="AR136" s="29"/>
      <c r="AS136" s="29"/>
      <c r="AT136" s="29"/>
      <c r="AU136" s="29"/>
      <c r="AV136" s="29"/>
      <c r="AW136" s="29"/>
      <c r="AX136" s="29"/>
      <c r="AY136" s="29"/>
      <c r="AZ136" s="29"/>
      <c r="BA136" s="29"/>
      <c r="BB136" s="29"/>
    </row>
    <row r="137" spans="1:54" s="22" customFormat="1" ht="126" customHeight="1" x14ac:dyDescent="0.4">
      <c r="A137" s="208"/>
      <c r="B137" s="157" t="s">
        <v>91</v>
      </c>
      <c r="C137" s="198"/>
      <c r="D137" s="198"/>
      <c r="E137" s="198"/>
      <c r="F137" s="89" t="s">
        <v>26</v>
      </c>
      <c r="G137" s="27">
        <f t="shared" ref="G137:P137" si="42">G138+G139</f>
        <v>2000</v>
      </c>
      <c r="H137" s="27">
        <f t="shared" si="42"/>
        <v>2000</v>
      </c>
      <c r="I137" s="27">
        <f t="shared" si="42"/>
        <v>0</v>
      </c>
      <c r="J137" s="27">
        <f t="shared" si="42"/>
        <v>0</v>
      </c>
      <c r="K137" s="27">
        <f t="shared" si="42"/>
        <v>0</v>
      </c>
      <c r="L137" s="27">
        <f t="shared" si="42"/>
        <v>0</v>
      </c>
      <c r="M137" s="125">
        <f t="shared" si="42"/>
        <v>0</v>
      </c>
      <c r="N137" s="28">
        <f t="shared" si="42"/>
        <v>0</v>
      </c>
      <c r="O137" s="27">
        <f t="shared" si="42"/>
        <v>0</v>
      </c>
      <c r="P137" s="27">
        <f t="shared" si="42"/>
        <v>0</v>
      </c>
      <c r="Q137" s="157" t="s">
        <v>27</v>
      </c>
      <c r="R137" s="157" t="s">
        <v>28</v>
      </c>
      <c r="S137" s="157" t="s">
        <v>29</v>
      </c>
      <c r="T137" s="157" t="s">
        <v>28</v>
      </c>
      <c r="U137" s="157" t="s">
        <v>30</v>
      </c>
      <c r="V137" s="157" t="s">
        <v>27</v>
      </c>
      <c r="W137" s="157" t="s">
        <v>31</v>
      </c>
      <c r="X137" s="157" t="s">
        <v>28</v>
      </c>
      <c r="Y137" s="157" t="s">
        <v>30</v>
      </c>
      <c r="Z137" s="201" t="s">
        <v>27</v>
      </c>
      <c r="AA137" s="201" t="s">
        <v>27</v>
      </c>
      <c r="AB137" s="201" t="s">
        <v>27</v>
      </c>
      <c r="AC137" s="29"/>
      <c r="AD137" s="29"/>
      <c r="AE137" s="29"/>
      <c r="AF137" s="29"/>
      <c r="AG137" s="29"/>
      <c r="AH137" s="29"/>
      <c r="AI137" s="29"/>
      <c r="AJ137" s="29"/>
      <c r="AK137" s="29"/>
      <c r="AL137" s="29"/>
      <c r="AM137" s="29"/>
      <c r="AN137" s="29"/>
      <c r="AO137" s="29"/>
      <c r="AP137" s="29"/>
      <c r="AQ137" s="29"/>
      <c r="AR137" s="29"/>
      <c r="AS137" s="29"/>
      <c r="AT137" s="29"/>
      <c r="AU137" s="29"/>
      <c r="AV137" s="29"/>
      <c r="AW137" s="29"/>
      <c r="AX137" s="29"/>
      <c r="AY137" s="29"/>
      <c r="AZ137" s="29"/>
      <c r="BA137" s="29"/>
      <c r="BB137" s="29"/>
    </row>
    <row r="138" spans="1:54" s="22" customFormat="1" ht="223.5" customHeight="1" x14ac:dyDescent="0.4">
      <c r="A138" s="208"/>
      <c r="B138" s="158"/>
      <c r="C138" s="199"/>
      <c r="D138" s="199"/>
      <c r="E138" s="199"/>
      <c r="F138" s="89" t="s">
        <v>32</v>
      </c>
      <c r="G138" s="27">
        <f>H138+I138+J138+K138+L138+M138+N138</f>
        <v>2000</v>
      </c>
      <c r="H138" s="28">
        <v>2000</v>
      </c>
      <c r="I138" s="27">
        <v>0</v>
      </c>
      <c r="J138" s="27">
        <v>0</v>
      </c>
      <c r="K138" s="27">
        <v>0</v>
      </c>
      <c r="L138" s="27">
        <v>0</v>
      </c>
      <c r="M138" s="125">
        <v>0</v>
      </c>
      <c r="N138" s="28">
        <v>0</v>
      </c>
      <c r="O138" s="27">
        <v>0</v>
      </c>
      <c r="P138" s="27">
        <v>0</v>
      </c>
      <c r="Q138" s="158"/>
      <c r="R138" s="158"/>
      <c r="S138" s="158"/>
      <c r="T138" s="158"/>
      <c r="U138" s="158"/>
      <c r="V138" s="158"/>
      <c r="W138" s="158"/>
      <c r="X138" s="158"/>
      <c r="Y138" s="158"/>
      <c r="Z138" s="205"/>
      <c r="AA138" s="205"/>
      <c r="AB138" s="205"/>
      <c r="AC138" s="29"/>
      <c r="AD138" s="29"/>
      <c r="AE138" s="29"/>
      <c r="AF138" s="29"/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29"/>
      <c r="AT138" s="29"/>
      <c r="AU138" s="29"/>
      <c r="AV138" s="29"/>
      <c r="AW138" s="29"/>
      <c r="AX138" s="29"/>
      <c r="AY138" s="29"/>
      <c r="AZ138" s="29"/>
      <c r="BA138" s="29"/>
      <c r="BB138" s="29"/>
    </row>
    <row r="139" spans="1:54" s="22" customFormat="1" ht="174" customHeight="1" x14ac:dyDescent="0.4">
      <c r="A139" s="208"/>
      <c r="B139" s="159"/>
      <c r="C139" s="200"/>
      <c r="D139" s="200"/>
      <c r="E139" s="200"/>
      <c r="F139" s="89" t="s">
        <v>33</v>
      </c>
      <c r="G139" s="27">
        <f>H139+I139+J139+K139+L139+M139+N139</f>
        <v>0</v>
      </c>
      <c r="H139" s="28" t="s">
        <v>35</v>
      </c>
      <c r="I139" s="27" t="s">
        <v>35</v>
      </c>
      <c r="J139" s="27">
        <v>0</v>
      </c>
      <c r="K139" s="27" t="s">
        <v>35</v>
      </c>
      <c r="L139" s="27" t="s">
        <v>35</v>
      </c>
      <c r="M139" s="125" t="s">
        <v>35</v>
      </c>
      <c r="N139" s="28" t="s">
        <v>35</v>
      </c>
      <c r="O139" s="27">
        <v>0</v>
      </c>
      <c r="P139" s="27" t="s">
        <v>35</v>
      </c>
      <c r="Q139" s="159"/>
      <c r="R139" s="159"/>
      <c r="S139" s="159"/>
      <c r="T139" s="159"/>
      <c r="U139" s="159"/>
      <c r="V139" s="159"/>
      <c r="W139" s="159"/>
      <c r="X139" s="159"/>
      <c r="Y139" s="159"/>
      <c r="Z139" s="202"/>
      <c r="AA139" s="202"/>
      <c r="AB139" s="202"/>
      <c r="AC139" s="29"/>
      <c r="AD139" s="29"/>
      <c r="AE139" s="29"/>
      <c r="AF139" s="29"/>
      <c r="AG139" s="29"/>
      <c r="AH139" s="29"/>
      <c r="AI139" s="29"/>
      <c r="AJ139" s="29"/>
      <c r="AK139" s="29"/>
      <c r="AL139" s="29"/>
      <c r="AM139" s="29"/>
      <c r="AN139" s="29"/>
      <c r="AO139" s="29"/>
      <c r="AP139" s="29"/>
      <c r="AQ139" s="29"/>
      <c r="AR139" s="29"/>
      <c r="AS139" s="29"/>
      <c r="AT139" s="29"/>
      <c r="AU139" s="29"/>
      <c r="AV139" s="29"/>
      <c r="AW139" s="29"/>
      <c r="AX139" s="29"/>
      <c r="AY139" s="29"/>
      <c r="AZ139" s="29"/>
      <c r="BA139" s="29"/>
      <c r="BB139" s="29"/>
    </row>
    <row r="140" spans="1:54" s="22" customFormat="1" ht="106.5" customHeight="1" x14ac:dyDescent="0.4">
      <c r="A140" s="208"/>
      <c r="B140" s="157" t="s">
        <v>92</v>
      </c>
      <c r="C140" s="198"/>
      <c r="D140" s="198"/>
      <c r="E140" s="198"/>
      <c r="F140" s="89" t="s">
        <v>26</v>
      </c>
      <c r="G140" s="27">
        <f t="shared" ref="G140:P140" si="43">G141+G142</f>
        <v>12895188.959999999</v>
      </c>
      <c r="H140" s="27">
        <f t="shared" si="43"/>
        <v>1319943.1399999999</v>
      </c>
      <c r="I140" s="27">
        <f t="shared" si="43"/>
        <v>1351530.7799999998</v>
      </c>
      <c r="J140" s="27">
        <f t="shared" si="43"/>
        <v>1678001.55</v>
      </c>
      <c r="K140" s="27">
        <f t="shared" si="43"/>
        <v>1627620.37</v>
      </c>
      <c r="L140" s="27">
        <f t="shared" si="43"/>
        <v>1924385.0299999998</v>
      </c>
      <c r="M140" s="125">
        <f t="shared" si="43"/>
        <v>2531116.09</v>
      </c>
      <c r="N140" s="28">
        <f t="shared" si="43"/>
        <v>2462592</v>
      </c>
      <c r="O140" s="27">
        <f t="shared" si="43"/>
        <v>3493947.19</v>
      </c>
      <c r="P140" s="27">
        <f t="shared" si="43"/>
        <v>2263164.19</v>
      </c>
      <c r="Q140" s="157" t="s">
        <v>27</v>
      </c>
      <c r="R140" s="157" t="s">
        <v>28</v>
      </c>
      <c r="S140" s="157" t="s">
        <v>29</v>
      </c>
      <c r="T140" s="157" t="s">
        <v>28</v>
      </c>
      <c r="U140" s="157" t="s">
        <v>30</v>
      </c>
      <c r="V140" s="157" t="s">
        <v>27</v>
      </c>
      <c r="W140" s="157" t="s">
        <v>31</v>
      </c>
      <c r="X140" s="157" t="s">
        <v>28</v>
      </c>
      <c r="Y140" s="157" t="s">
        <v>30</v>
      </c>
      <c r="Z140" s="157" t="s">
        <v>27</v>
      </c>
      <c r="AA140" s="157" t="s">
        <v>27</v>
      </c>
      <c r="AB140" s="201" t="s">
        <v>27</v>
      </c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</row>
    <row r="141" spans="1:54" s="22" customFormat="1" ht="225" customHeight="1" x14ac:dyDescent="0.4">
      <c r="A141" s="208"/>
      <c r="B141" s="158"/>
      <c r="C141" s="199"/>
      <c r="D141" s="199"/>
      <c r="E141" s="199"/>
      <c r="F141" s="89" t="s">
        <v>32</v>
      </c>
      <c r="G141" s="27">
        <f>H141+I141+J141+K141+L141+M141+N141</f>
        <v>8286327.7899999991</v>
      </c>
      <c r="H141" s="28">
        <v>1029836.69</v>
      </c>
      <c r="I141" s="27">
        <f>1072110.27+2964.4</f>
        <v>1075074.67</v>
      </c>
      <c r="J141" s="27">
        <f>1195144.08+9050+129800-15440.16/2+10000-9050</f>
        <v>1327224</v>
      </c>
      <c r="K141" s="27">
        <f>(1854990.2+560207.1)/2-19938.15-72757.03-6490.7</f>
        <v>1108412.77</v>
      </c>
      <c r="L141" s="27">
        <f>583714+573414.45-67954.31+41219.21</f>
        <v>1130393.3499999999</v>
      </c>
      <c r="M141" s="125">
        <f>2570434.62/2+98532</f>
        <v>1383749.31</v>
      </c>
      <c r="N141" s="28">
        <f>1187424+4152+31061+9000</f>
        <v>1231637</v>
      </c>
      <c r="O141" s="27">
        <f>2258674.19+4318</f>
        <v>2262992.19</v>
      </c>
      <c r="P141" s="27">
        <f>2258674.19+4490</f>
        <v>2263164.19</v>
      </c>
      <c r="Q141" s="158"/>
      <c r="R141" s="158"/>
      <c r="S141" s="158"/>
      <c r="T141" s="158"/>
      <c r="U141" s="158"/>
      <c r="V141" s="158"/>
      <c r="W141" s="158"/>
      <c r="X141" s="158"/>
      <c r="Y141" s="158"/>
      <c r="Z141" s="158"/>
      <c r="AA141" s="158"/>
      <c r="AB141" s="205"/>
      <c r="AC141" s="29"/>
      <c r="AD141" s="29"/>
      <c r="AE141" s="29"/>
      <c r="AF141" s="29"/>
      <c r="AG141" s="29"/>
      <c r="AH141" s="29"/>
      <c r="AI141" s="29"/>
      <c r="AJ141" s="29"/>
      <c r="AK141" s="29"/>
      <c r="AL141" s="29"/>
      <c r="AM141" s="29"/>
      <c r="AN141" s="29"/>
      <c r="AO141" s="29"/>
      <c r="AP141" s="29"/>
      <c r="AQ141" s="29"/>
      <c r="AR141" s="29"/>
      <c r="AS141" s="29"/>
      <c r="AT141" s="29"/>
      <c r="AU141" s="29"/>
      <c r="AV141" s="29"/>
      <c r="AW141" s="29"/>
      <c r="AX141" s="29"/>
      <c r="AY141" s="29"/>
      <c r="AZ141" s="29"/>
      <c r="BA141" s="29"/>
      <c r="BB141" s="29"/>
    </row>
    <row r="142" spans="1:54" s="22" customFormat="1" ht="174" customHeight="1" x14ac:dyDescent="0.4">
      <c r="A142" s="208"/>
      <c r="B142" s="159"/>
      <c r="C142" s="200"/>
      <c r="D142" s="200"/>
      <c r="E142" s="200"/>
      <c r="F142" s="89" t="s">
        <v>33</v>
      </c>
      <c r="G142" s="27">
        <f>H142+I142+J142+K142+L142+M142+N142</f>
        <v>4608861.17</v>
      </c>
      <c r="H142" s="51">
        <v>290106.45</v>
      </c>
      <c r="I142" s="27">
        <v>276456.11</v>
      </c>
      <c r="J142" s="27">
        <f>333103.68+17673.87</f>
        <v>350777.55</v>
      </c>
      <c r="K142" s="27">
        <f>1025433.8/2+6490.7</f>
        <v>519207.60000000003</v>
      </c>
      <c r="L142" s="27">
        <f>320273.23+319042.5+125000+29675.95</f>
        <v>793991.67999999993</v>
      </c>
      <c r="M142" s="125">
        <f>2294733.56/2</f>
        <v>1147366.78</v>
      </c>
      <c r="N142" s="28">
        <v>1230955</v>
      </c>
      <c r="O142" s="27">
        <v>1230955</v>
      </c>
      <c r="P142" s="27" t="s">
        <v>35</v>
      </c>
      <c r="Q142" s="159"/>
      <c r="R142" s="159"/>
      <c r="S142" s="159"/>
      <c r="T142" s="159"/>
      <c r="U142" s="159"/>
      <c r="V142" s="159"/>
      <c r="W142" s="159"/>
      <c r="X142" s="159"/>
      <c r="Y142" s="159"/>
      <c r="Z142" s="159"/>
      <c r="AA142" s="159"/>
      <c r="AB142" s="202"/>
      <c r="AC142" s="29"/>
      <c r="AD142" s="29"/>
      <c r="AE142" s="29"/>
      <c r="AF142" s="29"/>
      <c r="AG142" s="29"/>
      <c r="AH142" s="29"/>
      <c r="AI142" s="29"/>
      <c r="AJ142" s="29"/>
      <c r="AK142" s="29"/>
      <c r="AL142" s="29"/>
      <c r="AM142" s="29"/>
      <c r="AN142" s="29"/>
      <c r="AO142" s="29"/>
      <c r="AP142" s="29"/>
      <c r="AQ142" s="29"/>
      <c r="AR142" s="29"/>
      <c r="AS142" s="29"/>
      <c r="AT142" s="29"/>
      <c r="AU142" s="29"/>
      <c r="AV142" s="29"/>
      <c r="AW142" s="29"/>
      <c r="AX142" s="29"/>
      <c r="AY142" s="29"/>
      <c r="AZ142" s="29"/>
      <c r="BA142" s="29"/>
      <c r="BB142" s="29"/>
    </row>
    <row r="143" spans="1:54" s="22" customFormat="1" ht="106.5" customHeight="1" x14ac:dyDescent="0.4">
      <c r="A143" s="208"/>
      <c r="B143" s="157" t="s">
        <v>93</v>
      </c>
      <c r="C143" s="198"/>
      <c r="D143" s="198"/>
      <c r="E143" s="198"/>
      <c r="F143" s="89" t="s">
        <v>26</v>
      </c>
      <c r="G143" s="27">
        <f t="shared" ref="G143:P143" si="44">G144+G145</f>
        <v>12649740.560000001</v>
      </c>
      <c r="H143" s="27">
        <f t="shared" si="44"/>
        <v>1319943.1399999999</v>
      </c>
      <c r="I143" s="27">
        <f t="shared" si="44"/>
        <v>1348566.38</v>
      </c>
      <c r="J143" s="27">
        <f t="shared" si="44"/>
        <v>1538201.5500000003</v>
      </c>
      <c r="K143" s="27">
        <f t="shared" si="44"/>
        <v>1627620.37</v>
      </c>
      <c r="L143" s="27">
        <f t="shared" si="44"/>
        <v>1924385.0299999998</v>
      </c>
      <c r="M143" s="125">
        <f t="shared" si="44"/>
        <v>2432584.09</v>
      </c>
      <c r="N143" s="28">
        <f t="shared" si="44"/>
        <v>2458440</v>
      </c>
      <c r="O143" s="27">
        <f t="shared" si="44"/>
        <v>2418379</v>
      </c>
      <c r="P143" s="27">
        <f t="shared" si="44"/>
        <v>0</v>
      </c>
      <c r="Q143" s="157" t="s">
        <v>59</v>
      </c>
      <c r="R143" s="157" t="s">
        <v>38</v>
      </c>
      <c r="S143" s="157"/>
      <c r="T143" s="157">
        <v>78.78</v>
      </c>
      <c r="U143" s="157">
        <v>77.349999999999994</v>
      </c>
      <c r="V143" s="157">
        <v>75.5</v>
      </c>
      <c r="W143" s="157">
        <v>77.56</v>
      </c>
      <c r="X143" s="157">
        <v>78.03</v>
      </c>
      <c r="Y143" s="157">
        <v>80.3</v>
      </c>
      <c r="Z143" s="157">
        <v>73.989999999999995</v>
      </c>
      <c r="AA143" s="157">
        <v>73.989999999999995</v>
      </c>
      <c r="AB143" s="157">
        <v>73.989999999999995</v>
      </c>
      <c r="AC143" s="29"/>
      <c r="AD143" s="29"/>
      <c r="AE143" s="29"/>
      <c r="AF143" s="29"/>
      <c r="AG143" s="29"/>
      <c r="AH143" s="29"/>
      <c r="AI143" s="29"/>
      <c r="AJ143" s="29"/>
      <c r="AK143" s="29"/>
      <c r="AL143" s="29"/>
      <c r="AM143" s="29"/>
      <c r="AN143" s="29"/>
      <c r="AO143" s="29"/>
      <c r="AP143" s="29"/>
      <c r="AQ143" s="29"/>
      <c r="AR143" s="29"/>
      <c r="AS143" s="29"/>
      <c r="AT143" s="29"/>
      <c r="AU143" s="29"/>
      <c r="AV143" s="29"/>
      <c r="AW143" s="29"/>
      <c r="AX143" s="29"/>
      <c r="AY143" s="29"/>
      <c r="AZ143" s="29"/>
      <c r="BA143" s="29"/>
      <c r="BB143" s="29"/>
    </row>
    <row r="144" spans="1:54" s="22" customFormat="1" ht="238.5" customHeight="1" x14ac:dyDescent="0.4">
      <c r="A144" s="208"/>
      <c r="B144" s="158"/>
      <c r="C144" s="199"/>
      <c r="D144" s="199"/>
      <c r="E144" s="199"/>
      <c r="F144" s="89" t="s">
        <v>32</v>
      </c>
      <c r="G144" s="27">
        <f>H144+I144+J144+K144+L144+M144+N144</f>
        <v>8047370.0899999999</v>
      </c>
      <c r="H144" s="28">
        <v>1029836.69</v>
      </c>
      <c r="I144" s="27">
        <v>1072110.27</v>
      </c>
      <c r="J144" s="27">
        <f>948916.33+399248.25/2+93207.24/2-15440.15/2</f>
        <v>1187424.0000000002</v>
      </c>
      <c r="K144" s="27">
        <f>(1854990.2+560207.1)/2-19938.15-72757.03</f>
        <v>1114903.47</v>
      </c>
      <c r="L144" s="27">
        <f>1167128.45-77954.31+41219.21</f>
        <v>1130393.3499999999</v>
      </c>
      <c r="M144" s="125">
        <f>2570434.62/2</f>
        <v>1285217.31</v>
      </c>
      <c r="N144" s="28">
        <f>1187424+40061</f>
        <v>1227485</v>
      </c>
      <c r="O144" s="27">
        <v>1187424</v>
      </c>
      <c r="P144" s="27">
        <v>0</v>
      </c>
      <c r="Q144" s="158"/>
      <c r="R144" s="158"/>
      <c r="S144" s="158"/>
      <c r="T144" s="158"/>
      <c r="U144" s="158"/>
      <c r="V144" s="158"/>
      <c r="W144" s="158"/>
      <c r="X144" s="158"/>
      <c r="Y144" s="158"/>
      <c r="Z144" s="158"/>
      <c r="AA144" s="158"/>
      <c r="AB144" s="158"/>
      <c r="AC144" s="29"/>
      <c r="AD144" s="29"/>
      <c r="AE144" s="29"/>
      <c r="AF144" s="29"/>
      <c r="AG144" s="29"/>
      <c r="AH144" s="29"/>
      <c r="AI144" s="29"/>
      <c r="AJ144" s="29"/>
      <c r="AK144" s="29"/>
      <c r="AL144" s="29"/>
      <c r="AM144" s="29"/>
      <c r="AN144" s="29"/>
      <c r="AO144" s="29"/>
      <c r="AP144" s="29"/>
      <c r="AQ144" s="29"/>
      <c r="AR144" s="29"/>
      <c r="AS144" s="29"/>
      <c r="AT144" s="29"/>
      <c r="AU144" s="29"/>
      <c r="AV144" s="29"/>
      <c r="AW144" s="29"/>
      <c r="AX144" s="29"/>
      <c r="AY144" s="29"/>
      <c r="AZ144" s="29"/>
      <c r="BA144" s="29"/>
      <c r="BB144" s="29"/>
    </row>
    <row r="145" spans="1:54" s="22" customFormat="1" ht="241.5" customHeight="1" x14ac:dyDescent="0.4">
      <c r="A145" s="208"/>
      <c r="B145" s="159"/>
      <c r="C145" s="200"/>
      <c r="D145" s="200"/>
      <c r="E145" s="200"/>
      <c r="F145" s="89" t="s">
        <v>33</v>
      </c>
      <c r="G145" s="27">
        <f>H145+I145+J145+K145+L145+M145+N145</f>
        <v>4602370.4700000007</v>
      </c>
      <c r="H145" s="51">
        <v>290106.45</v>
      </c>
      <c r="I145" s="27">
        <v>276456.11</v>
      </c>
      <c r="J145" s="27">
        <f>333103.68+17673.87</f>
        <v>350777.55</v>
      </c>
      <c r="K145" s="27">
        <f>1025433.8/2</f>
        <v>512716.9</v>
      </c>
      <c r="L145" s="27">
        <f>320273.23+319042.5+125000+29675.95</f>
        <v>793991.67999999993</v>
      </c>
      <c r="M145" s="125">
        <f>2294733.56/2</f>
        <v>1147366.78</v>
      </c>
      <c r="N145" s="28">
        <v>1230955</v>
      </c>
      <c r="O145" s="27">
        <v>1230955</v>
      </c>
      <c r="P145" s="27" t="s">
        <v>35</v>
      </c>
      <c r="Q145" s="159"/>
      <c r="R145" s="159"/>
      <c r="S145" s="159"/>
      <c r="T145" s="159"/>
      <c r="U145" s="159"/>
      <c r="V145" s="159"/>
      <c r="W145" s="159"/>
      <c r="X145" s="159"/>
      <c r="Y145" s="159"/>
      <c r="Z145" s="159"/>
      <c r="AA145" s="159"/>
      <c r="AB145" s="159"/>
      <c r="AC145" s="29"/>
      <c r="AD145" s="29"/>
      <c r="AE145" s="29"/>
      <c r="AF145" s="29"/>
      <c r="AG145" s="29"/>
      <c r="AH145" s="29"/>
      <c r="AI145" s="29"/>
      <c r="AJ145" s="29"/>
      <c r="AK145" s="29"/>
      <c r="AL145" s="29"/>
      <c r="AM145" s="29"/>
      <c r="AN145" s="29"/>
      <c r="AO145" s="29"/>
      <c r="AP145" s="29"/>
      <c r="AQ145" s="29"/>
      <c r="AR145" s="29"/>
      <c r="AS145" s="29"/>
      <c r="AT145" s="29"/>
      <c r="AU145" s="29"/>
      <c r="AV145" s="29"/>
      <c r="AW145" s="29"/>
      <c r="AX145" s="29"/>
      <c r="AY145" s="29"/>
      <c r="AZ145" s="29"/>
      <c r="BA145" s="29"/>
      <c r="BB145" s="29"/>
    </row>
    <row r="146" spans="1:54" s="22" customFormat="1" ht="133.5" customHeight="1" x14ac:dyDescent="0.4">
      <c r="A146" s="198"/>
      <c r="B146" s="157" t="s">
        <v>94</v>
      </c>
      <c r="C146" s="198"/>
      <c r="D146" s="198"/>
      <c r="E146" s="198"/>
      <c r="F146" s="89" t="s">
        <v>26</v>
      </c>
      <c r="G146" s="27">
        <f t="shared" ref="G146:P146" si="45">G147+G148</f>
        <v>255102.04</v>
      </c>
      <c r="H146" s="27">
        <f t="shared" si="45"/>
        <v>0</v>
      </c>
      <c r="I146" s="27">
        <f t="shared" si="45"/>
        <v>0</v>
      </c>
      <c r="J146" s="27">
        <f t="shared" si="45"/>
        <v>0</v>
      </c>
      <c r="K146" s="27">
        <f t="shared" si="45"/>
        <v>0</v>
      </c>
      <c r="L146" s="27">
        <f>L147+L148</f>
        <v>255102.04</v>
      </c>
      <c r="M146" s="125">
        <f t="shared" si="45"/>
        <v>0</v>
      </c>
      <c r="N146" s="28">
        <f t="shared" si="45"/>
        <v>0</v>
      </c>
      <c r="O146" s="27">
        <f t="shared" si="45"/>
        <v>0</v>
      </c>
      <c r="P146" s="27">
        <f t="shared" si="45"/>
        <v>0</v>
      </c>
      <c r="Q146" s="89"/>
      <c r="R146" s="89"/>
      <c r="S146" s="89"/>
      <c r="T146" s="89"/>
      <c r="U146" s="89"/>
      <c r="V146" s="89"/>
      <c r="W146" s="89"/>
      <c r="X146" s="89"/>
      <c r="Y146" s="89"/>
      <c r="Z146" s="97"/>
      <c r="AA146" s="97"/>
      <c r="AB146" s="97"/>
      <c r="AC146" s="29"/>
      <c r="AD146" s="29"/>
      <c r="AE146" s="29"/>
      <c r="AF146" s="29"/>
      <c r="AG146" s="29"/>
      <c r="AH146" s="29"/>
      <c r="AI146" s="29"/>
      <c r="AJ146" s="29"/>
      <c r="AK146" s="29"/>
      <c r="AL146" s="29"/>
      <c r="AM146" s="29"/>
      <c r="AN146" s="29"/>
      <c r="AO146" s="29"/>
      <c r="AP146" s="29"/>
      <c r="AQ146" s="29"/>
      <c r="AR146" s="29"/>
      <c r="AS146" s="29"/>
      <c r="AT146" s="29"/>
      <c r="AU146" s="29"/>
      <c r="AV146" s="29"/>
      <c r="AW146" s="29"/>
      <c r="AX146" s="29"/>
      <c r="AY146" s="29"/>
      <c r="AZ146" s="29"/>
      <c r="BA146" s="29"/>
      <c r="BB146" s="29"/>
    </row>
    <row r="147" spans="1:54" s="22" customFormat="1" ht="288" customHeight="1" x14ac:dyDescent="0.4">
      <c r="A147" s="199"/>
      <c r="B147" s="158"/>
      <c r="C147" s="199"/>
      <c r="D147" s="199"/>
      <c r="E147" s="199"/>
      <c r="F147" s="89" t="s">
        <v>32</v>
      </c>
      <c r="G147" s="27">
        <f>H147+I147+J147+K147+L147+M147+N147</f>
        <v>5102.04</v>
      </c>
      <c r="H147" s="28">
        <v>0</v>
      </c>
      <c r="I147" s="27">
        <v>0</v>
      </c>
      <c r="J147" s="28">
        <v>0</v>
      </c>
      <c r="K147" s="27">
        <v>0</v>
      </c>
      <c r="L147" s="27">
        <f>L150</f>
        <v>5102.04</v>
      </c>
      <c r="M147" s="125">
        <v>0</v>
      </c>
      <c r="N147" s="28">
        <v>0</v>
      </c>
      <c r="O147" s="27">
        <v>0</v>
      </c>
      <c r="P147" s="27">
        <v>0</v>
      </c>
      <c r="Q147" s="89"/>
      <c r="R147" s="89"/>
      <c r="S147" s="89"/>
      <c r="T147" s="89" t="s">
        <v>45</v>
      </c>
      <c r="U147" s="89" t="s">
        <v>45</v>
      </c>
      <c r="V147" s="89" t="s">
        <v>45</v>
      </c>
      <c r="W147" s="89" t="s">
        <v>45</v>
      </c>
      <c r="X147" s="89" t="s">
        <v>45</v>
      </c>
      <c r="Y147" s="89" t="s">
        <v>45</v>
      </c>
      <c r="Z147" s="97" t="s">
        <v>45</v>
      </c>
      <c r="AA147" s="97" t="s">
        <v>45</v>
      </c>
      <c r="AB147" s="97" t="s">
        <v>45</v>
      </c>
      <c r="AC147" s="29"/>
      <c r="AD147" s="29"/>
      <c r="AE147" s="29"/>
      <c r="AF147" s="29"/>
      <c r="AG147" s="29"/>
      <c r="AH147" s="29"/>
      <c r="AI147" s="29"/>
      <c r="AJ147" s="29"/>
      <c r="AK147" s="29"/>
      <c r="AL147" s="29"/>
      <c r="AM147" s="29"/>
      <c r="AN147" s="29"/>
      <c r="AO147" s="29"/>
      <c r="AP147" s="29"/>
      <c r="AQ147" s="29"/>
      <c r="AR147" s="29"/>
      <c r="AS147" s="29"/>
      <c r="AT147" s="29"/>
      <c r="AU147" s="29"/>
      <c r="AV147" s="29"/>
      <c r="AW147" s="29"/>
      <c r="AX147" s="29"/>
      <c r="AY147" s="29"/>
      <c r="AZ147" s="29"/>
      <c r="BA147" s="29"/>
      <c r="BB147" s="29"/>
    </row>
    <row r="148" spans="1:54" s="22" customFormat="1" ht="174" customHeight="1" x14ac:dyDescent="0.4">
      <c r="A148" s="200"/>
      <c r="B148" s="159"/>
      <c r="C148" s="200"/>
      <c r="D148" s="200"/>
      <c r="E148" s="200"/>
      <c r="F148" s="89" t="s">
        <v>33</v>
      </c>
      <c r="G148" s="27">
        <f>H148+I148+J148+K148+L148+M148+N148</f>
        <v>250000</v>
      </c>
      <c r="H148" s="28" t="s">
        <v>35</v>
      </c>
      <c r="I148" s="27" t="s">
        <v>35</v>
      </c>
      <c r="J148" s="27" t="s">
        <v>35</v>
      </c>
      <c r="K148" s="27" t="s">
        <v>35</v>
      </c>
      <c r="L148" s="27">
        <f>L151</f>
        <v>250000</v>
      </c>
      <c r="M148" s="125" t="s">
        <v>35</v>
      </c>
      <c r="N148" s="28" t="s">
        <v>35</v>
      </c>
      <c r="O148" s="27">
        <v>0</v>
      </c>
      <c r="P148" s="27" t="s">
        <v>35</v>
      </c>
      <c r="Q148" s="89"/>
      <c r="R148" s="89"/>
      <c r="S148" s="89"/>
      <c r="T148" s="89"/>
      <c r="U148" s="89"/>
      <c r="V148" s="89"/>
      <c r="W148" s="89"/>
      <c r="X148" s="89"/>
      <c r="Y148" s="89"/>
      <c r="Z148" s="97"/>
      <c r="AA148" s="97"/>
      <c r="AB148" s="97"/>
      <c r="AC148" s="29"/>
      <c r="AD148" s="29"/>
      <c r="AE148" s="29"/>
      <c r="AF148" s="29"/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  <c r="AQ148" s="29"/>
      <c r="AR148" s="29"/>
      <c r="AS148" s="29"/>
      <c r="AT148" s="29"/>
      <c r="AU148" s="29"/>
      <c r="AV148" s="29"/>
      <c r="AW148" s="29"/>
      <c r="AX148" s="29"/>
      <c r="AY148" s="29"/>
      <c r="AZ148" s="29"/>
      <c r="BA148" s="29"/>
      <c r="BB148" s="29"/>
    </row>
    <row r="149" spans="1:54" s="22" customFormat="1" ht="96" customHeight="1" x14ac:dyDescent="0.4">
      <c r="A149" s="208"/>
      <c r="B149" s="157" t="s">
        <v>95</v>
      </c>
      <c r="C149" s="198"/>
      <c r="D149" s="198"/>
      <c r="E149" s="198"/>
      <c r="F149" s="98" t="s">
        <v>26</v>
      </c>
      <c r="G149" s="106">
        <f t="shared" ref="G149:P149" si="46">G150+G151</f>
        <v>255102.04</v>
      </c>
      <c r="H149" s="106">
        <f t="shared" si="46"/>
        <v>0</v>
      </c>
      <c r="I149" s="106">
        <f t="shared" si="46"/>
        <v>0</v>
      </c>
      <c r="J149" s="106">
        <f t="shared" si="46"/>
        <v>0</v>
      </c>
      <c r="K149" s="106">
        <f t="shared" si="46"/>
        <v>0</v>
      </c>
      <c r="L149" s="106">
        <f t="shared" si="46"/>
        <v>255102.04</v>
      </c>
      <c r="M149" s="127">
        <f t="shared" si="46"/>
        <v>0</v>
      </c>
      <c r="N149" s="137">
        <f t="shared" si="46"/>
        <v>0</v>
      </c>
      <c r="O149" s="139">
        <f t="shared" si="46"/>
        <v>0</v>
      </c>
      <c r="P149" s="106">
        <f t="shared" si="46"/>
        <v>0</v>
      </c>
      <c r="Q149" s="157" t="s">
        <v>96</v>
      </c>
      <c r="R149" s="157" t="s">
        <v>12</v>
      </c>
      <c r="S149" s="157">
        <v>1</v>
      </c>
      <c r="T149" s="187" t="s">
        <v>48</v>
      </c>
      <c r="U149" s="187" t="s">
        <v>48</v>
      </c>
      <c r="V149" s="187" t="s">
        <v>48</v>
      </c>
      <c r="W149" s="187" t="s">
        <v>48</v>
      </c>
      <c r="X149" s="187">
        <v>1</v>
      </c>
      <c r="Y149" s="187" t="s">
        <v>48</v>
      </c>
      <c r="Z149" s="201" t="s">
        <v>48</v>
      </c>
      <c r="AA149" s="201" t="s">
        <v>48</v>
      </c>
      <c r="AB149" s="201" t="s">
        <v>48</v>
      </c>
      <c r="AC149" s="29"/>
      <c r="AD149" s="29"/>
      <c r="AE149" s="29"/>
      <c r="AF149" s="29"/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  <c r="AQ149" s="29"/>
      <c r="AR149" s="29"/>
      <c r="AS149" s="29"/>
      <c r="AT149" s="29"/>
      <c r="AU149" s="29"/>
      <c r="AV149" s="29"/>
      <c r="AW149" s="29"/>
      <c r="AX149" s="29"/>
      <c r="AY149" s="29"/>
      <c r="AZ149" s="29"/>
      <c r="BA149" s="29"/>
      <c r="BB149" s="29"/>
    </row>
    <row r="150" spans="1:54" s="22" customFormat="1" ht="219" customHeight="1" x14ac:dyDescent="0.4">
      <c r="A150" s="208"/>
      <c r="B150" s="158"/>
      <c r="C150" s="199"/>
      <c r="D150" s="199"/>
      <c r="E150" s="199"/>
      <c r="F150" s="89" t="s">
        <v>32</v>
      </c>
      <c r="G150" s="27">
        <f>H150+I150+J150+K150+L150+N150+M150</f>
        <v>5102.04</v>
      </c>
      <c r="H150" s="28">
        <v>0</v>
      </c>
      <c r="I150" s="27">
        <v>0</v>
      </c>
      <c r="J150" s="27">
        <v>0</v>
      </c>
      <c r="K150" s="27">
        <v>0</v>
      </c>
      <c r="L150" s="27">
        <v>5102.04</v>
      </c>
      <c r="M150" s="125">
        <v>0</v>
      </c>
      <c r="N150" s="28">
        <v>0</v>
      </c>
      <c r="O150" s="27">
        <v>0</v>
      </c>
      <c r="P150" s="27">
        <v>0</v>
      </c>
      <c r="Q150" s="158"/>
      <c r="R150" s="158"/>
      <c r="S150" s="158"/>
      <c r="T150" s="188"/>
      <c r="U150" s="188"/>
      <c r="V150" s="188"/>
      <c r="W150" s="188"/>
      <c r="X150" s="188"/>
      <c r="Y150" s="188"/>
      <c r="Z150" s="205"/>
      <c r="AA150" s="205"/>
      <c r="AB150" s="205"/>
      <c r="AC150" s="29"/>
      <c r="AD150" s="29"/>
      <c r="AE150" s="29"/>
      <c r="AF150" s="29"/>
      <c r="AG150" s="29"/>
      <c r="AH150" s="29"/>
      <c r="AI150" s="29"/>
      <c r="AJ150" s="29"/>
      <c r="AK150" s="29"/>
      <c r="AL150" s="29"/>
      <c r="AM150" s="29"/>
      <c r="AN150" s="29"/>
      <c r="AO150" s="29"/>
      <c r="AP150" s="29"/>
      <c r="AQ150" s="29"/>
      <c r="AR150" s="29"/>
      <c r="AS150" s="29"/>
      <c r="AT150" s="29"/>
      <c r="AU150" s="29"/>
      <c r="AV150" s="29"/>
      <c r="AW150" s="29"/>
      <c r="AX150" s="29"/>
      <c r="AY150" s="29"/>
      <c r="AZ150" s="29"/>
      <c r="BA150" s="29"/>
      <c r="BB150" s="29"/>
    </row>
    <row r="151" spans="1:54" s="22" customFormat="1" ht="156.75" customHeight="1" x14ac:dyDescent="0.4">
      <c r="A151" s="208"/>
      <c r="B151" s="159"/>
      <c r="C151" s="200"/>
      <c r="D151" s="200"/>
      <c r="E151" s="200"/>
      <c r="F151" s="89" t="s">
        <v>33</v>
      </c>
      <c r="G151" s="27">
        <f>H151+I151+J151+K151+L151+N151+M151</f>
        <v>250000</v>
      </c>
      <c r="H151" s="28">
        <v>0</v>
      </c>
      <c r="I151" s="27">
        <v>0</v>
      </c>
      <c r="J151" s="27" t="s">
        <v>35</v>
      </c>
      <c r="K151" s="27">
        <v>0</v>
      </c>
      <c r="L151" s="27">
        <v>250000</v>
      </c>
      <c r="M151" s="125" t="s">
        <v>35</v>
      </c>
      <c r="N151" s="28" t="s">
        <v>35</v>
      </c>
      <c r="O151" s="27">
        <v>0</v>
      </c>
      <c r="P151" s="27" t="s">
        <v>35</v>
      </c>
      <c r="Q151" s="159"/>
      <c r="R151" s="159"/>
      <c r="S151" s="159"/>
      <c r="T151" s="189"/>
      <c r="U151" s="189"/>
      <c r="V151" s="189"/>
      <c r="W151" s="189"/>
      <c r="X151" s="189"/>
      <c r="Y151" s="189"/>
      <c r="Z151" s="202"/>
      <c r="AA151" s="202"/>
      <c r="AB151" s="202"/>
      <c r="AC151" s="29"/>
      <c r="AD151" s="29"/>
      <c r="AE151" s="29"/>
      <c r="AF151" s="29"/>
      <c r="AG151" s="29"/>
      <c r="AH151" s="29"/>
      <c r="AI151" s="29"/>
      <c r="AJ151" s="29"/>
      <c r="AK151" s="29"/>
      <c r="AL151" s="29"/>
      <c r="AM151" s="29"/>
      <c r="AN151" s="29"/>
      <c r="AO151" s="29"/>
      <c r="AP151" s="29"/>
      <c r="AQ151" s="29"/>
      <c r="AR151" s="29"/>
      <c r="AS151" s="29"/>
      <c r="AT151" s="29"/>
      <c r="AU151" s="29"/>
      <c r="AV151" s="29"/>
      <c r="AW151" s="29"/>
      <c r="AX151" s="29"/>
      <c r="AY151" s="29"/>
      <c r="AZ151" s="29"/>
      <c r="BA151" s="29"/>
      <c r="BB151" s="29"/>
    </row>
    <row r="152" spans="1:54" s="22" customFormat="1" ht="69" customHeight="1" x14ac:dyDescent="0.4">
      <c r="A152" s="198"/>
      <c r="B152" s="157" t="s">
        <v>97</v>
      </c>
      <c r="C152" s="198"/>
      <c r="D152" s="198"/>
      <c r="E152" s="198"/>
      <c r="F152" s="89" t="s">
        <v>26</v>
      </c>
      <c r="G152" s="27">
        <f t="shared" ref="G152:P152" si="47">G153+G154</f>
        <v>0</v>
      </c>
      <c r="H152" s="27">
        <f t="shared" si="47"/>
        <v>0</v>
      </c>
      <c r="I152" s="27">
        <f t="shared" si="47"/>
        <v>0</v>
      </c>
      <c r="J152" s="27">
        <f t="shared" si="47"/>
        <v>0</v>
      </c>
      <c r="K152" s="27">
        <f t="shared" si="47"/>
        <v>0</v>
      </c>
      <c r="L152" s="27">
        <f t="shared" si="47"/>
        <v>0</v>
      </c>
      <c r="M152" s="125">
        <f t="shared" si="47"/>
        <v>0</v>
      </c>
      <c r="N152" s="28">
        <f t="shared" si="47"/>
        <v>0</v>
      </c>
      <c r="O152" s="27">
        <f t="shared" si="47"/>
        <v>0</v>
      </c>
      <c r="P152" s="27">
        <f t="shared" si="47"/>
        <v>0</v>
      </c>
      <c r="Q152" s="89"/>
      <c r="R152" s="89"/>
      <c r="S152" s="89"/>
      <c r="T152" s="89"/>
      <c r="U152" s="89"/>
      <c r="V152" s="89"/>
      <c r="W152" s="89"/>
      <c r="X152" s="89"/>
      <c r="Y152" s="89"/>
      <c r="Z152" s="97"/>
      <c r="AA152" s="97"/>
      <c r="AB152" s="97"/>
      <c r="AC152" s="29"/>
      <c r="AD152" s="29"/>
      <c r="AE152" s="29"/>
      <c r="AF152" s="29"/>
      <c r="AG152" s="29"/>
      <c r="AH152" s="29"/>
      <c r="AI152" s="29"/>
      <c r="AJ152" s="29"/>
      <c r="AK152" s="29"/>
      <c r="AL152" s="29"/>
      <c r="AM152" s="29"/>
      <c r="AN152" s="29"/>
      <c r="AO152" s="29"/>
      <c r="AP152" s="29"/>
      <c r="AQ152" s="29"/>
      <c r="AR152" s="29"/>
      <c r="AS152" s="29"/>
      <c r="AT152" s="29"/>
      <c r="AU152" s="29"/>
      <c r="AV152" s="29"/>
      <c r="AW152" s="29"/>
      <c r="AX152" s="29"/>
      <c r="AY152" s="29"/>
      <c r="AZ152" s="29"/>
      <c r="BA152" s="29"/>
      <c r="BB152" s="29"/>
    </row>
    <row r="153" spans="1:54" s="22" customFormat="1" ht="225" customHeight="1" x14ac:dyDescent="0.4">
      <c r="A153" s="199"/>
      <c r="B153" s="158"/>
      <c r="C153" s="199"/>
      <c r="D153" s="199"/>
      <c r="E153" s="199"/>
      <c r="F153" s="89" t="s">
        <v>32</v>
      </c>
      <c r="G153" s="27">
        <f>H153+I153+J153+K153+L153+M153+N153</f>
        <v>0</v>
      </c>
      <c r="H153" s="28">
        <v>0</v>
      </c>
      <c r="I153" s="27">
        <v>0</v>
      </c>
      <c r="J153" s="28">
        <v>0</v>
      </c>
      <c r="K153" s="27">
        <v>0</v>
      </c>
      <c r="L153" s="27">
        <v>0</v>
      </c>
      <c r="M153" s="125">
        <v>0</v>
      </c>
      <c r="N153" s="28">
        <v>0</v>
      </c>
      <c r="O153" s="27">
        <v>0</v>
      </c>
      <c r="P153" s="27">
        <v>0</v>
      </c>
      <c r="Q153" s="89"/>
      <c r="R153" s="89"/>
      <c r="S153" s="89"/>
      <c r="T153" s="89" t="s">
        <v>45</v>
      </c>
      <c r="U153" s="89" t="s">
        <v>45</v>
      </c>
      <c r="V153" s="89" t="s">
        <v>45</v>
      </c>
      <c r="W153" s="89" t="s">
        <v>45</v>
      </c>
      <c r="X153" s="89" t="s">
        <v>45</v>
      </c>
      <c r="Y153" s="89" t="s">
        <v>45</v>
      </c>
      <c r="Z153" s="97" t="s">
        <v>45</v>
      </c>
      <c r="AA153" s="97" t="s">
        <v>45</v>
      </c>
      <c r="AB153" s="97" t="s">
        <v>45</v>
      </c>
      <c r="AC153" s="29"/>
      <c r="AD153" s="29"/>
      <c r="AE153" s="29"/>
      <c r="AF153" s="29"/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  <c r="BA153" s="29"/>
      <c r="BB153" s="29"/>
    </row>
    <row r="154" spans="1:54" s="22" customFormat="1" ht="174" customHeight="1" x14ac:dyDescent="0.4">
      <c r="A154" s="200"/>
      <c r="B154" s="159"/>
      <c r="C154" s="200"/>
      <c r="D154" s="200"/>
      <c r="E154" s="200"/>
      <c r="F154" s="89" t="s">
        <v>33</v>
      </c>
      <c r="G154" s="27">
        <f>H154+I154+J154+K154+L154+M154+N154</f>
        <v>0</v>
      </c>
      <c r="H154" s="28" t="s">
        <v>35</v>
      </c>
      <c r="I154" s="27" t="s">
        <v>35</v>
      </c>
      <c r="J154" s="27" t="s">
        <v>35</v>
      </c>
      <c r="K154" s="27" t="s">
        <v>35</v>
      </c>
      <c r="L154" s="27">
        <v>0</v>
      </c>
      <c r="M154" s="125" t="s">
        <v>35</v>
      </c>
      <c r="N154" s="28" t="s">
        <v>35</v>
      </c>
      <c r="O154" s="27">
        <v>0</v>
      </c>
      <c r="P154" s="27" t="s">
        <v>35</v>
      </c>
      <c r="Q154" s="89"/>
      <c r="R154" s="89"/>
      <c r="S154" s="89"/>
      <c r="T154" s="89"/>
      <c r="U154" s="89"/>
      <c r="V154" s="89"/>
      <c r="W154" s="89"/>
      <c r="X154" s="89"/>
      <c r="Y154" s="89"/>
      <c r="Z154" s="97"/>
      <c r="AA154" s="97"/>
      <c r="AB154" s="97"/>
      <c r="AC154" s="29"/>
      <c r="AD154" s="29"/>
      <c r="AE154" s="29"/>
      <c r="AF154" s="29"/>
      <c r="AG154" s="29"/>
      <c r="AH154" s="29"/>
      <c r="AI154" s="29"/>
      <c r="AJ154" s="29"/>
      <c r="AK154" s="29"/>
      <c r="AL154" s="29"/>
      <c r="AM154" s="29"/>
      <c r="AN154" s="29"/>
      <c r="AO154" s="29"/>
      <c r="AP154" s="29"/>
      <c r="AQ154" s="29"/>
      <c r="AR154" s="29"/>
      <c r="AS154" s="29"/>
      <c r="AT154" s="29"/>
      <c r="AU154" s="29"/>
      <c r="AV154" s="29"/>
      <c r="AW154" s="29"/>
      <c r="AX154" s="29"/>
      <c r="AY154" s="29"/>
      <c r="AZ154" s="29"/>
      <c r="BA154" s="29"/>
      <c r="BB154" s="29"/>
    </row>
    <row r="155" spans="1:54" s="22" customFormat="1" ht="126" customHeight="1" x14ac:dyDescent="0.4">
      <c r="A155" s="198"/>
      <c r="B155" s="157" t="s">
        <v>98</v>
      </c>
      <c r="C155" s="198"/>
      <c r="D155" s="198"/>
      <c r="E155" s="198"/>
      <c r="F155" s="89" t="s">
        <v>26</v>
      </c>
      <c r="G155" s="27">
        <f t="shared" ref="G155:P155" si="48">G156+G157</f>
        <v>12693729.149999999</v>
      </c>
      <c r="H155" s="27">
        <f t="shared" si="48"/>
        <v>1331443.1300000001</v>
      </c>
      <c r="I155" s="27">
        <f t="shared" si="48"/>
        <v>1348566.38</v>
      </c>
      <c r="J155" s="27">
        <f t="shared" si="48"/>
        <v>1547201.55</v>
      </c>
      <c r="K155" s="27">
        <f t="shared" si="48"/>
        <v>1645270.98</v>
      </c>
      <c r="L155" s="27">
        <f t="shared" si="48"/>
        <v>1944385.0199999998</v>
      </c>
      <c r="M155" s="125">
        <f t="shared" si="48"/>
        <v>2458483.09</v>
      </c>
      <c r="N155" s="28">
        <f t="shared" si="48"/>
        <v>2418379</v>
      </c>
      <c r="O155" s="27">
        <f t="shared" si="48"/>
        <v>3489629.19</v>
      </c>
      <c r="P155" s="27">
        <f t="shared" si="48"/>
        <v>2258674.19</v>
      </c>
      <c r="Q155" s="210" t="s">
        <v>99</v>
      </c>
      <c r="R155" s="157" t="s">
        <v>38</v>
      </c>
      <c r="S155" s="157"/>
      <c r="T155" s="157">
        <v>0.1</v>
      </c>
      <c r="U155" s="157">
        <v>0.1</v>
      </c>
      <c r="V155" s="157">
        <v>0.1</v>
      </c>
      <c r="W155" s="157">
        <v>0.1</v>
      </c>
      <c r="X155" s="157">
        <v>0.1</v>
      </c>
      <c r="Y155" s="157">
        <v>0.1</v>
      </c>
      <c r="Z155" s="201">
        <v>0.1</v>
      </c>
      <c r="AA155" s="201">
        <v>0.1</v>
      </c>
      <c r="AB155" s="201">
        <v>0.1</v>
      </c>
      <c r="AC155" s="29"/>
      <c r="AD155" s="29"/>
      <c r="AE155" s="29"/>
      <c r="AF155" s="29"/>
      <c r="AG155" s="29"/>
      <c r="AH155" s="29"/>
      <c r="AI155" s="29"/>
      <c r="AJ155" s="29"/>
      <c r="AK155" s="29"/>
      <c r="AL155" s="29"/>
      <c r="AM155" s="29"/>
      <c r="AN155" s="29"/>
      <c r="AO155" s="29"/>
      <c r="AP155" s="29"/>
      <c r="AQ155" s="29"/>
      <c r="AR155" s="29"/>
      <c r="AS155" s="29"/>
      <c r="AT155" s="29"/>
      <c r="AU155" s="29"/>
      <c r="AV155" s="29"/>
      <c r="AW155" s="29"/>
      <c r="AX155" s="29"/>
      <c r="AY155" s="29"/>
      <c r="AZ155" s="29"/>
      <c r="BA155" s="29"/>
      <c r="BB155" s="29"/>
    </row>
    <row r="156" spans="1:54" s="22" customFormat="1" ht="220.5" customHeight="1" x14ac:dyDescent="0.4">
      <c r="A156" s="199"/>
      <c r="B156" s="158"/>
      <c r="C156" s="199"/>
      <c r="D156" s="199"/>
      <c r="E156" s="199"/>
      <c r="F156" s="89" t="s">
        <v>32</v>
      </c>
      <c r="G156" s="27">
        <f>SUM(H156:N156)</f>
        <v>8091358.6899999995</v>
      </c>
      <c r="H156" s="27">
        <f t="shared" ref="H156:P157" si="49">H159+H162+H168+H171</f>
        <v>1041336.68</v>
      </c>
      <c r="I156" s="27">
        <f t="shared" si="49"/>
        <v>1072110.27</v>
      </c>
      <c r="J156" s="27">
        <f t="shared" si="49"/>
        <v>1196424</v>
      </c>
      <c r="K156" s="27">
        <f t="shared" si="49"/>
        <v>1132554.08</v>
      </c>
      <c r="L156" s="27">
        <f t="shared" si="49"/>
        <v>1150393.3499999999</v>
      </c>
      <c r="M156" s="125">
        <f t="shared" si="49"/>
        <v>1311116.31</v>
      </c>
      <c r="N156" s="28">
        <f t="shared" si="49"/>
        <v>1187424</v>
      </c>
      <c r="O156" s="27">
        <f t="shared" si="49"/>
        <v>2258674.19</v>
      </c>
      <c r="P156" s="27">
        <f t="shared" si="49"/>
        <v>2258674.19</v>
      </c>
      <c r="Q156" s="211"/>
      <c r="R156" s="159"/>
      <c r="S156" s="159"/>
      <c r="T156" s="159"/>
      <c r="U156" s="159"/>
      <c r="V156" s="159"/>
      <c r="W156" s="159"/>
      <c r="X156" s="159"/>
      <c r="Y156" s="159"/>
      <c r="Z156" s="202"/>
      <c r="AA156" s="202"/>
      <c r="AB156" s="202"/>
      <c r="AC156" s="29"/>
      <c r="AD156" s="29"/>
      <c r="AE156" s="29"/>
      <c r="AF156" s="29"/>
      <c r="AG156" s="29"/>
      <c r="AH156" s="29"/>
      <c r="AI156" s="29"/>
      <c r="AJ156" s="29"/>
      <c r="AK156" s="29"/>
      <c r="AL156" s="29"/>
      <c r="AM156" s="29"/>
      <c r="AN156" s="29"/>
      <c r="AO156" s="29"/>
      <c r="AP156" s="29"/>
      <c r="AQ156" s="29"/>
      <c r="AR156" s="29"/>
      <c r="AS156" s="29"/>
      <c r="AT156" s="29"/>
      <c r="AU156" s="29"/>
      <c r="AV156" s="29"/>
      <c r="AW156" s="29"/>
      <c r="AX156" s="29"/>
      <c r="AY156" s="29"/>
      <c r="AZ156" s="29"/>
      <c r="BA156" s="29"/>
      <c r="BB156" s="29"/>
    </row>
    <row r="157" spans="1:54" s="22" customFormat="1" ht="174" customHeight="1" x14ac:dyDescent="0.4">
      <c r="A157" s="200"/>
      <c r="B157" s="159"/>
      <c r="C157" s="200"/>
      <c r="D157" s="200"/>
      <c r="E157" s="52"/>
      <c r="F157" s="89" t="s">
        <v>33</v>
      </c>
      <c r="G157" s="27">
        <f>SUM(H157:N157)</f>
        <v>4602370.46</v>
      </c>
      <c r="H157" s="27">
        <f t="shared" si="49"/>
        <v>290106.45</v>
      </c>
      <c r="I157" s="27">
        <f t="shared" si="49"/>
        <v>276456.11</v>
      </c>
      <c r="J157" s="27">
        <f t="shared" si="49"/>
        <v>350777.55</v>
      </c>
      <c r="K157" s="27">
        <f t="shared" si="49"/>
        <v>512716.9</v>
      </c>
      <c r="L157" s="27">
        <f t="shared" si="49"/>
        <v>793991.66999999993</v>
      </c>
      <c r="M157" s="125">
        <f t="shared" si="49"/>
        <v>1147366.78</v>
      </c>
      <c r="N157" s="28">
        <f t="shared" si="49"/>
        <v>1230955</v>
      </c>
      <c r="O157" s="27">
        <f t="shared" si="49"/>
        <v>1230955</v>
      </c>
      <c r="P157" s="27">
        <f t="shared" si="49"/>
        <v>0</v>
      </c>
      <c r="Q157" s="212"/>
      <c r="R157" s="89"/>
      <c r="S157" s="89"/>
      <c r="T157" s="89"/>
      <c r="U157" s="89"/>
      <c r="V157" s="89"/>
      <c r="W157" s="89"/>
      <c r="X157" s="89"/>
      <c r="Y157" s="89"/>
      <c r="Z157" s="97"/>
      <c r="AA157" s="97"/>
      <c r="AB157" s="97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</row>
    <row r="158" spans="1:54" s="55" customFormat="1" ht="112.5" customHeight="1" x14ac:dyDescent="0.4">
      <c r="A158" s="198"/>
      <c r="B158" s="157" t="s">
        <v>100</v>
      </c>
      <c r="C158" s="198"/>
      <c r="D158" s="198"/>
      <c r="E158" s="198"/>
      <c r="F158" s="89" t="s">
        <v>26</v>
      </c>
      <c r="G158" s="27">
        <f t="shared" ref="G158:P158" si="50">G159+G160</f>
        <v>65150.6</v>
      </c>
      <c r="H158" s="27">
        <f t="shared" si="50"/>
        <v>18500</v>
      </c>
      <c r="I158" s="27">
        <f t="shared" si="50"/>
        <v>0</v>
      </c>
      <c r="J158" s="27">
        <f t="shared" si="50"/>
        <v>9000</v>
      </c>
      <c r="K158" s="27">
        <f t="shared" si="50"/>
        <v>17650.599999999999</v>
      </c>
      <c r="L158" s="27">
        <f t="shared" si="50"/>
        <v>20000</v>
      </c>
      <c r="M158" s="125">
        <f t="shared" si="50"/>
        <v>0</v>
      </c>
      <c r="N158" s="28">
        <f t="shared" si="50"/>
        <v>0</v>
      </c>
      <c r="O158" s="28">
        <f t="shared" si="50"/>
        <v>0</v>
      </c>
      <c r="P158" s="27">
        <f t="shared" si="50"/>
        <v>0</v>
      </c>
      <c r="Q158" s="53"/>
      <c r="R158" s="53"/>
      <c r="S158" s="53"/>
      <c r="T158" s="53"/>
      <c r="U158" s="53"/>
      <c r="V158" s="53"/>
      <c r="W158" s="53"/>
      <c r="X158" s="53"/>
      <c r="Y158" s="82"/>
      <c r="Z158" s="82"/>
      <c r="AA158" s="53"/>
      <c r="AB158" s="53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54"/>
      <c r="BB158" s="54"/>
    </row>
    <row r="159" spans="1:54" s="55" customFormat="1" ht="264" customHeight="1" x14ac:dyDescent="0.4">
      <c r="A159" s="199"/>
      <c r="B159" s="158"/>
      <c r="C159" s="199"/>
      <c r="D159" s="199"/>
      <c r="E159" s="199"/>
      <c r="F159" s="89" t="s">
        <v>32</v>
      </c>
      <c r="G159" s="27">
        <f>H159+I159+J159+K159+L159+M159+N159</f>
        <v>65150.6</v>
      </c>
      <c r="H159" s="28">
        <v>18500</v>
      </c>
      <c r="I159" s="27">
        <v>0</v>
      </c>
      <c r="J159" s="27">
        <f>16000-7000</f>
        <v>9000</v>
      </c>
      <c r="K159" s="27">
        <v>17650.599999999999</v>
      </c>
      <c r="L159" s="27">
        <v>20000</v>
      </c>
      <c r="M159" s="125">
        <v>0</v>
      </c>
      <c r="N159" s="28">
        <v>0</v>
      </c>
      <c r="O159" s="27">
        <v>0</v>
      </c>
      <c r="P159" s="27">
        <v>0</v>
      </c>
      <c r="Q159" s="53"/>
      <c r="R159" s="53"/>
      <c r="S159" s="53"/>
      <c r="T159" s="53"/>
      <c r="U159" s="53"/>
      <c r="V159" s="53"/>
      <c r="W159" s="53"/>
      <c r="X159" s="53"/>
      <c r="Y159" s="82"/>
      <c r="Z159" s="82"/>
      <c r="AA159" s="53"/>
      <c r="AB159" s="53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54"/>
      <c r="BB159" s="54"/>
    </row>
    <row r="160" spans="1:54" s="58" customFormat="1" ht="174" customHeight="1" x14ac:dyDescent="0.4">
      <c r="A160" s="200"/>
      <c r="B160" s="159"/>
      <c r="C160" s="200"/>
      <c r="D160" s="200"/>
      <c r="E160" s="200"/>
      <c r="F160" s="89" t="s">
        <v>33</v>
      </c>
      <c r="G160" s="27">
        <f>H160+I160+J160+K160+L160+M160+N160</f>
        <v>0</v>
      </c>
      <c r="H160" s="28">
        <v>0</v>
      </c>
      <c r="I160" s="27">
        <v>0</v>
      </c>
      <c r="J160" s="27">
        <v>0</v>
      </c>
      <c r="K160" s="27" t="s">
        <v>35</v>
      </c>
      <c r="L160" s="27">
        <v>0</v>
      </c>
      <c r="M160" s="125">
        <v>0</v>
      </c>
      <c r="N160" s="146" t="s">
        <v>35</v>
      </c>
      <c r="O160" s="56"/>
      <c r="P160" s="56" t="s">
        <v>35</v>
      </c>
      <c r="Q160" s="53"/>
      <c r="R160" s="53"/>
      <c r="S160" s="53"/>
      <c r="T160" s="53"/>
      <c r="U160" s="53"/>
      <c r="V160" s="53"/>
      <c r="W160" s="53"/>
      <c r="X160" s="53"/>
      <c r="Y160" s="82"/>
      <c r="Z160" s="82"/>
      <c r="AA160" s="53"/>
      <c r="AB160" s="53"/>
      <c r="AC160" s="57"/>
      <c r="AD160" s="57"/>
      <c r="AE160" s="57"/>
      <c r="AF160" s="57"/>
      <c r="AG160" s="57"/>
      <c r="AH160" s="57"/>
      <c r="AI160" s="57"/>
      <c r="AJ160" s="57"/>
      <c r="AK160" s="57"/>
      <c r="AL160" s="57"/>
      <c r="AM160" s="57"/>
      <c r="AN160" s="57"/>
      <c r="AO160" s="57"/>
      <c r="AP160" s="57"/>
      <c r="AQ160" s="57"/>
      <c r="AR160" s="57"/>
      <c r="AS160" s="57"/>
      <c r="AT160" s="57"/>
      <c r="AU160" s="57"/>
      <c r="AV160" s="57"/>
      <c r="AW160" s="57"/>
      <c r="AX160" s="57"/>
      <c r="AY160" s="57"/>
      <c r="AZ160" s="57"/>
      <c r="BA160" s="57"/>
      <c r="BB160" s="57"/>
    </row>
    <row r="161" spans="1:54" s="58" customFormat="1" ht="118.5" customHeight="1" x14ac:dyDescent="0.4">
      <c r="A161" s="198"/>
      <c r="B161" s="157" t="s">
        <v>101</v>
      </c>
      <c r="C161" s="198"/>
      <c r="D161" s="198"/>
      <c r="E161" s="198"/>
      <c r="F161" s="89" t="s">
        <v>26</v>
      </c>
      <c r="G161" s="27">
        <f t="shared" ref="G161:P161" si="51">G162+G163</f>
        <v>12628578.550000001</v>
      </c>
      <c r="H161" s="27">
        <f t="shared" si="51"/>
        <v>1312943.1300000001</v>
      </c>
      <c r="I161" s="27">
        <f t="shared" si="51"/>
        <v>1348566.38</v>
      </c>
      <c r="J161" s="27">
        <f t="shared" si="51"/>
        <v>1538201.55</v>
      </c>
      <c r="K161" s="27">
        <f t="shared" si="51"/>
        <v>1627620.38</v>
      </c>
      <c r="L161" s="27">
        <f t="shared" si="51"/>
        <v>1924385.0199999998</v>
      </c>
      <c r="M161" s="125">
        <f t="shared" si="51"/>
        <v>2458483.09</v>
      </c>
      <c r="N161" s="28">
        <f t="shared" si="51"/>
        <v>2418379</v>
      </c>
      <c r="O161" s="27">
        <f t="shared" si="51"/>
        <v>3489629.19</v>
      </c>
      <c r="P161" s="27">
        <f t="shared" si="51"/>
        <v>2258674.19</v>
      </c>
      <c r="Q161" s="53"/>
      <c r="R161" s="53"/>
      <c r="S161" s="53"/>
      <c r="T161" s="53"/>
      <c r="U161" s="53"/>
      <c r="V161" s="53"/>
      <c r="W161" s="53"/>
      <c r="X161" s="53"/>
      <c r="Y161" s="82"/>
      <c r="Z161" s="82"/>
      <c r="AA161" s="53"/>
      <c r="AB161" s="53"/>
      <c r="AC161" s="57"/>
      <c r="AD161" s="57"/>
      <c r="AE161" s="57"/>
      <c r="AF161" s="57"/>
      <c r="AG161" s="57"/>
      <c r="AH161" s="57"/>
      <c r="AI161" s="57"/>
      <c r="AJ161" s="57"/>
      <c r="AK161" s="57"/>
      <c r="AL161" s="57"/>
      <c r="AM161" s="57"/>
      <c r="AN161" s="57"/>
      <c r="AO161" s="57"/>
      <c r="AP161" s="57"/>
      <c r="AQ161" s="57"/>
      <c r="AR161" s="57"/>
      <c r="AS161" s="57"/>
      <c r="AT161" s="57"/>
      <c r="AU161" s="57"/>
      <c r="AV161" s="57"/>
      <c r="AW161" s="57"/>
      <c r="AX161" s="57"/>
      <c r="AY161" s="57"/>
      <c r="AZ161" s="57"/>
      <c r="BA161" s="57"/>
      <c r="BB161" s="57"/>
    </row>
    <row r="162" spans="1:54" s="58" customFormat="1" ht="253.5" customHeight="1" x14ac:dyDescent="0.4">
      <c r="A162" s="199"/>
      <c r="B162" s="158"/>
      <c r="C162" s="199"/>
      <c r="D162" s="199"/>
      <c r="E162" s="199"/>
      <c r="F162" s="89" t="s">
        <v>32</v>
      </c>
      <c r="G162" s="27">
        <f>H162+I162+J162+K162+L162+M162+N162</f>
        <v>8026208.0899999999</v>
      </c>
      <c r="H162" s="28">
        <v>1022836.68</v>
      </c>
      <c r="I162" s="27">
        <v>1072110.27</v>
      </c>
      <c r="J162" s="27">
        <f>1195144.08-7720.08</f>
        <v>1187424</v>
      </c>
      <c r="K162" s="27">
        <f>(1854990.2+560207.1)/2-19938.15-72757.02</f>
        <v>1114903.48</v>
      </c>
      <c r="L162" s="27">
        <f>603714+573414.44-87954.3+41219.21</f>
        <v>1130393.3499999999</v>
      </c>
      <c r="M162" s="125">
        <f>2570434.62/2+25899</f>
        <v>1311116.31</v>
      </c>
      <c r="N162" s="28">
        <f>912000+275424</f>
        <v>1187424</v>
      </c>
      <c r="O162" s="27">
        <v>2258674.19</v>
      </c>
      <c r="P162" s="27">
        <v>2258674.19</v>
      </c>
      <c r="Q162" s="53"/>
      <c r="R162" s="53"/>
      <c r="S162" s="53"/>
      <c r="T162" s="53"/>
      <c r="U162" s="53"/>
      <c r="V162" s="53"/>
      <c r="W162" s="53"/>
      <c r="X162" s="53"/>
      <c r="Y162" s="82"/>
      <c r="Z162" s="82"/>
      <c r="AA162" s="53"/>
      <c r="AB162" s="53"/>
      <c r="AC162" s="57"/>
      <c r="AD162" s="57"/>
      <c r="AE162" s="57"/>
      <c r="AF162" s="57"/>
      <c r="AG162" s="57"/>
      <c r="AH162" s="57"/>
      <c r="AI162" s="57"/>
      <c r="AJ162" s="57"/>
      <c r="AK162" s="57"/>
      <c r="AL162" s="57"/>
      <c r="AM162" s="57"/>
      <c r="AN162" s="57"/>
      <c r="AO162" s="57"/>
      <c r="AP162" s="57"/>
      <c r="AQ162" s="57"/>
      <c r="AR162" s="57"/>
      <c r="AS162" s="57"/>
      <c r="AT162" s="57"/>
      <c r="AU162" s="57"/>
      <c r="AV162" s="57"/>
      <c r="AW162" s="57"/>
      <c r="AX162" s="57"/>
      <c r="AY162" s="57"/>
      <c r="AZ162" s="57"/>
      <c r="BA162" s="57"/>
      <c r="BB162" s="57"/>
    </row>
    <row r="163" spans="1:54" s="58" customFormat="1" ht="216" customHeight="1" x14ac:dyDescent="0.4">
      <c r="A163" s="200"/>
      <c r="B163" s="159"/>
      <c r="C163" s="200"/>
      <c r="D163" s="200"/>
      <c r="E163" s="200"/>
      <c r="F163" s="89" t="s">
        <v>33</v>
      </c>
      <c r="G163" s="27">
        <f>H163+I163+J163+K163+L163+M163+N163</f>
        <v>4602370.46</v>
      </c>
      <c r="H163" s="28">
        <v>290106.45</v>
      </c>
      <c r="I163" s="27">
        <v>276456.11</v>
      </c>
      <c r="J163" s="27">
        <f>333103.68+17673.87</f>
        <v>350777.55</v>
      </c>
      <c r="K163" s="27">
        <f>1025433.8/2</f>
        <v>512716.9</v>
      </c>
      <c r="L163" s="27">
        <f>320273.23+319042.5+125000+29675.94</f>
        <v>793991.66999999993</v>
      </c>
      <c r="M163" s="125">
        <f>2294733.56/2</f>
        <v>1147366.78</v>
      </c>
      <c r="N163" s="146">
        <v>1230955</v>
      </c>
      <c r="O163" s="56">
        <v>1230955</v>
      </c>
      <c r="P163" s="56" t="s">
        <v>35</v>
      </c>
      <c r="Q163" s="53"/>
      <c r="R163" s="53"/>
      <c r="S163" s="53"/>
      <c r="T163" s="53"/>
      <c r="U163" s="53"/>
      <c r="V163" s="53"/>
      <c r="W163" s="53"/>
      <c r="X163" s="53"/>
      <c r="Y163" s="82"/>
      <c r="Z163" s="82"/>
      <c r="AA163" s="53"/>
      <c r="AB163" s="53"/>
      <c r="AC163" s="57"/>
      <c r="AD163" s="57"/>
      <c r="AE163" s="57"/>
      <c r="AF163" s="57"/>
      <c r="AG163" s="57"/>
      <c r="AH163" s="57"/>
      <c r="AI163" s="57"/>
      <c r="AJ163" s="57"/>
      <c r="AK163" s="57"/>
      <c r="AL163" s="57"/>
      <c r="AM163" s="57"/>
      <c r="AN163" s="57"/>
      <c r="AO163" s="57"/>
      <c r="AP163" s="57"/>
      <c r="AQ163" s="57"/>
      <c r="AR163" s="57"/>
      <c r="AS163" s="57"/>
      <c r="AT163" s="57"/>
      <c r="AU163" s="57"/>
      <c r="AV163" s="57"/>
      <c r="AW163" s="57"/>
      <c r="AX163" s="57"/>
      <c r="AY163" s="57"/>
      <c r="AZ163" s="57"/>
      <c r="BA163" s="57"/>
      <c r="BB163" s="57"/>
    </row>
    <row r="164" spans="1:54" s="58" customFormat="1" ht="123" customHeight="1" x14ac:dyDescent="0.4">
      <c r="A164" s="105"/>
      <c r="B164" s="157" t="s">
        <v>102</v>
      </c>
      <c r="C164" s="198"/>
      <c r="D164" s="198"/>
      <c r="E164" s="198"/>
      <c r="F164" s="89" t="s">
        <v>26</v>
      </c>
      <c r="G164" s="27">
        <f t="shared" ref="G164:P164" si="52">G165+G166</f>
        <v>12602679.545000002</v>
      </c>
      <c r="H164" s="27">
        <f t="shared" si="52"/>
        <v>1312943.1300000001</v>
      </c>
      <c r="I164" s="27">
        <f t="shared" si="52"/>
        <v>1348566.38</v>
      </c>
      <c r="J164" s="27">
        <f t="shared" si="52"/>
        <v>1538201.5449999999</v>
      </c>
      <c r="K164" s="27">
        <f t="shared" si="52"/>
        <v>1627620.38</v>
      </c>
      <c r="L164" s="27">
        <f t="shared" si="52"/>
        <v>1924385.0199999998</v>
      </c>
      <c r="M164" s="125">
        <f t="shared" si="52"/>
        <v>2432584.09</v>
      </c>
      <c r="N164" s="28">
        <f t="shared" si="52"/>
        <v>2418379</v>
      </c>
      <c r="O164" s="27">
        <f t="shared" si="52"/>
        <v>2418379</v>
      </c>
      <c r="P164" s="27">
        <f t="shared" si="52"/>
        <v>0</v>
      </c>
      <c r="Q164" s="157" t="s">
        <v>59</v>
      </c>
      <c r="R164" s="157" t="s">
        <v>38</v>
      </c>
      <c r="S164" s="157"/>
      <c r="T164" s="157">
        <v>78.78</v>
      </c>
      <c r="U164" s="157">
        <v>77.349999999999994</v>
      </c>
      <c r="V164" s="157">
        <v>75.5</v>
      </c>
      <c r="W164" s="157">
        <v>77.56</v>
      </c>
      <c r="X164" s="157">
        <v>78.03</v>
      </c>
      <c r="Y164" s="157">
        <v>80.3</v>
      </c>
      <c r="Z164" s="157">
        <v>73.989999999999995</v>
      </c>
      <c r="AA164" s="157">
        <v>73.989999999999995</v>
      </c>
      <c r="AB164" s="157">
        <v>73.989999999999995</v>
      </c>
      <c r="AC164" s="57"/>
      <c r="AD164" s="57"/>
      <c r="AE164" s="57"/>
      <c r="AF164" s="57"/>
      <c r="AG164" s="57"/>
      <c r="AH164" s="57"/>
      <c r="AI164" s="57"/>
      <c r="AJ164" s="57"/>
      <c r="AK164" s="57"/>
      <c r="AL164" s="57"/>
      <c r="AM164" s="57"/>
      <c r="AN164" s="57"/>
      <c r="AO164" s="57"/>
      <c r="AP164" s="57"/>
      <c r="AQ164" s="57"/>
      <c r="AR164" s="57"/>
      <c r="AS164" s="57"/>
      <c r="AT164" s="57"/>
      <c r="AU164" s="57"/>
      <c r="AV164" s="57"/>
      <c r="AW164" s="57"/>
      <c r="AX164" s="57"/>
      <c r="AY164" s="57"/>
      <c r="AZ164" s="57"/>
      <c r="BA164" s="57"/>
      <c r="BB164" s="57"/>
    </row>
    <row r="165" spans="1:54" s="58" customFormat="1" ht="256.5" customHeight="1" x14ac:dyDescent="0.4">
      <c r="A165" s="105"/>
      <c r="B165" s="158"/>
      <c r="C165" s="199"/>
      <c r="D165" s="199"/>
      <c r="E165" s="199"/>
      <c r="F165" s="89" t="s">
        <v>32</v>
      </c>
      <c r="G165" s="27">
        <f>H165+I165+J165+K165+L165+M165+N165</f>
        <v>8000309.0850000009</v>
      </c>
      <c r="H165" s="28">
        <v>1022836.68</v>
      </c>
      <c r="I165" s="27">
        <v>1072110.27</v>
      </c>
      <c r="J165" s="27">
        <f>948916.34+399248.25/2+93207.24/2-0.01-15440.16/2</f>
        <v>1187423.9949999999</v>
      </c>
      <c r="K165" s="27">
        <f>2415197.3/2-19938.15-72757.02</f>
        <v>1114903.48</v>
      </c>
      <c r="L165" s="27">
        <f>1167128.44-77954.3+41219.21</f>
        <v>1130393.3499999999</v>
      </c>
      <c r="M165" s="125">
        <f>2570434.62/2</f>
        <v>1285217.31</v>
      </c>
      <c r="N165" s="28">
        <v>1187424</v>
      </c>
      <c r="O165" s="27">
        <v>1187424</v>
      </c>
      <c r="P165" s="27">
        <v>0</v>
      </c>
      <c r="Q165" s="158"/>
      <c r="R165" s="158"/>
      <c r="S165" s="158"/>
      <c r="T165" s="158"/>
      <c r="U165" s="158"/>
      <c r="V165" s="158"/>
      <c r="W165" s="158"/>
      <c r="X165" s="158"/>
      <c r="Y165" s="158"/>
      <c r="Z165" s="158"/>
      <c r="AA165" s="158"/>
      <c r="AB165" s="158"/>
      <c r="AC165" s="57"/>
      <c r="AD165" s="57"/>
      <c r="AE165" s="57"/>
      <c r="AF165" s="57"/>
      <c r="AG165" s="57"/>
      <c r="AH165" s="57"/>
      <c r="AI165" s="57"/>
      <c r="AJ165" s="57"/>
      <c r="AK165" s="57"/>
      <c r="AL165" s="57"/>
      <c r="AM165" s="57"/>
      <c r="AN165" s="57"/>
      <c r="AO165" s="57"/>
      <c r="AP165" s="57"/>
      <c r="AQ165" s="57"/>
      <c r="AR165" s="57"/>
      <c r="AS165" s="57"/>
      <c r="AT165" s="57"/>
      <c r="AU165" s="57"/>
      <c r="AV165" s="57"/>
      <c r="AW165" s="57"/>
      <c r="AX165" s="57"/>
      <c r="AY165" s="57"/>
      <c r="AZ165" s="57"/>
      <c r="BA165" s="57"/>
      <c r="BB165" s="57"/>
    </row>
    <row r="166" spans="1:54" s="58" customFormat="1" ht="195.75" customHeight="1" x14ac:dyDescent="0.4">
      <c r="A166" s="105"/>
      <c r="B166" s="159"/>
      <c r="C166" s="200"/>
      <c r="D166" s="200"/>
      <c r="E166" s="200"/>
      <c r="F166" s="89" t="s">
        <v>33</v>
      </c>
      <c r="G166" s="27">
        <f>H166+I166+J166+K166+L166+M166+N166</f>
        <v>4602370.46</v>
      </c>
      <c r="H166" s="28">
        <v>290106.45</v>
      </c>
      <c r="I166" s="27">
        <v>276456.11</v>
      </c>
      <c r="J166" s="27">
        <f>333103.68+17673.87</f>
        <v>350777.55</v>
      </c>
      <c r="K166" s="27">
        <f>1025433.8/2</f>
        <v>512716.9</v>
      </c>
      <c r="L166" s="27">
        <f>320273.23+319042.5+125000+29675.94</f>
        <v>793991.66999999993</v>
      </c>
      <c r="M166" s="125">
        <f>2294733.56/2</f>
        <v>1147366.78</v>
      </c>
      <c r="N166" s="146">
        <v>1230955</v>
      </c>
      <c r="O166" s="56">
        <v>1230955</v>
      </c>
      <c r="P166" s="56" t="s">
        <v>35</v>
      </c>
      <c r="Q166" s="159"/>
      <c r="R166" s="159"/>
      <c r="S166" s="159"/>
      <c r="T166" s="159"/>
      <c r="U166" s="159"/>
      <c r="V166" s="159"/>
      <c r="W166" s="159"/>
      <c r="X166" s="159"/>
      <c r="Y166" s="159"/>
      <c r="Z166" s="159"/>
      <c r="AA166" s="159"/>
      <c r="AB166" s="159"/>
      <c r="AC166" s="57"/>
      <c r="AD166" s="57"/>
      <c r="AE166" s="57"/>
      <c r="AF166" s="57"/>
      <c r="AG166" s="57"/>
      <c r="AH166" s="57"/>
      <c r="AI166" s="57"/>
      <c r="AJ166" s="57"/>
      <c r="AK166" s="57"/>
      <c r="AL166" s="57"/>
      <c r="AM166" s="57"/>
      <c r="AN166" s="57"/>
      <c r="AO166" s="57"/>
      <c r="AP166" s="57"/>
      <c r="AQ166" s="57"/>
      <c r="AR166" s="57"/>
      <c r="AS166" s="57"/>
      <c r="AT166" s="57"/>
      <c r="AU166" s="57"/>
      <c r="AV166" s="57"/>
      <c r="AW166" s="57"/>
      <c r="AX166" s="57"/>
      <c r="AY166" s="57"/>
      <c r="AZ166" s="57"/>
      <c r="BA166" s="57"/>
      <c r="BB166" s="57"/>
    </row>
    <row r="167" spans="1:54" s="58" customFormat="1" ht="130.5" customHeight="1" x14ac:dyDescent="0.4">
      <c r="A167" s="198"/>
      <c r="B167" s="157" t="s">
        <v>103</v>
      </c>
      <c r="C167" s="198"/>
      <c r="D167" s="198"/>
      <c r="E167" s="198"/>
      <c r="F167" s="89" t="s">
        <v>26</v>
      </c>
      <c r="G167" s="27">
        <f t="shared" ref="G167:P167" si="53">G168+G169</f>
        <v>0</v>
      </c>
      <c r="H167" s="27">
        <f t="shared" si="53"/>
        <v>0</v>
      </c>
      <c r="I167" s="27">
        <f t="shared" si="53"/>
        <v>0</v>
      </c>
      <c r="J167" s="27">
        <f t="shared" si="53"/>
        <v>0</v>
      </c>
      <c r="K167" s="27">
        <f t="shared" si="53"/>
        <v>0</v>
      </c>
      <c r="L167" s="27">
        <f t="shared" si="53"/>
        <v>0</v>
      </c>
      <c r="M167" s="125">
        <f t="shared" si="53"/>
        <v>0</v>
      </c>
      <c r="N167" s="28">
        <f t="shared" si="53"/>
        <v>0</v>
      </c>
      <c r="O167" s="27">
        <f t="shared" si="53"/>
        <v>0</v>
      </c>
      <c r="P167" s="27">
        <f t="shared" si="53"/>
        <v>0</v>
      </c>
      <c r="Q167" s="53"/>
      <c r="R167" s="53"/>
      <c r="S167" s="53"/>
      <c r="T167" s="53"/>
      <c r="U167" s="53"/>
      <c r="V167" s="53"/>
      <c r="W167" s="53"/>
      <c r="X167" s="53"/>
      <c r="Y167" s="82"/>
      <c r="Z167" s="82"/>
      <c r="AA167" s="53"/>
      <c r="AB167" s="53"/>
      <c r="AC167" s="57"/>
      <c r="AD167" s="57"/>
      <c r="AE167" s="57"/>
      <c r="AF167" s="57"/>
      <c r="AG167" s="57"/>
      <c r="AH167" s="57"/>
      <c r="AI167" s="57"/>
      <c r="AJ167" s="57"/>
      <c r="AK167" s="57"/>
      <c r="AL167" s="57"/>
      <c r="AM167" s="57"/>
      <c r="AN167" s="57"/>
      <c r="AO167" s="57"/>
      <c r="AP167" s="57"/>
      <c r="AQ167" s="57"/>
      <c r="AR167" s="57"/>
      <c r="AS167" s="57"/>
      <c r="AT167" s="57"/>
      <c r="AU167" s="57"/>
      <c r="AV167" s="57"/>
      <c r="AW167" s="57"/>
      <c r="AX167" s="57"/>
      <c r="AY167" s="57"/>
      <c r="AZ167" s="57"/>
      <c r="BA167" s="57"/>
      <c r="BB167" s="57"/>
    </row>
    <row r="168" spans="1:54" s="58" customFormat="1" ht="237" customHeight="1" x14ac:dyDescent="0.4">
      <c r="A168" s="199"/>
      <c r="B168" s="158"/>
      <c r="C168" s="199"/>
      <c r="D168" s="199"/>
      <c r="E168" s="199"/>
      <c r="F168" s="89" t="s">
        <v>32</v>
      </c>
      <c r="G168" s="27">
        <f>H168+I168+J168+K168+L168+M168+N168</f>
        <v>0</v>
      </c>
      <c r="H168" s="28">
        <v>0</v>
      </c>
      <c r="I168" s="27">
        <v>0</v>
      </c>
      <c r="J168" s="27">
        <v>0</v>
      </c>
      <c r="K168" s="27">
        <v>0</v>
      </c>
      <c r="L168" s="27">
        <v>0</v>
      </c>
      <c r="M168" s="125">
        <v>0</v>
      </c>
      <c r="N168" s="146">
        <v>0</v>
      </c>
      <c r="O168" s="56">
        <v>0</v>
      </c>
      <c r="P168" s="56">
        <v>0</v>
      </c>
      <c r="Q168" s="53"/>
      <c r="R168" s="53"/>
      <c r="S168" s="53"/>
      <c r="T168" s="53"/>
      <c r="U168" s="53"/>
      <c r="V168" s="53"/>
      <c r="W168" s="53"/>
      <c r="X168" s="53"/>
      <c r="Y168" s="82"/>
      <c r="Z168" s="82"/>
      <c r="AA168" s="53"/>
      <c r="AB168" s="53"/>
      <c r="AC168" s="57"/>
      <c r="AD168" s="57"/>
      <c r="AE168" s="57"/>
      <c r="AF168" s="57"/>
      <c r="AG168" s="57"/>
      <c r="AH168" s="57"/>
      <c r="AI168" s="57"/>
      <c r="AJ168" s="57"/>
      <c r="AK168" s="57"/>
      <c r="AL168" s="57"/>
      <c r="AM168" s="57"/>
      <c r="AN168" s="57"/>
      <c r="AO168" s="57"/>
      <c r="AP168" s="57"/>
      <c r="AQ168" s="57"/>
      <c r="AR168" s="57"/>
      <c r="AS168" s="57"/>
      <c r="AT168" s="57"/>
      <c r="AU168" s="57"/>
      <c r="AV168" s="57"/>
      <c r="AW168" s="57"/>
      <c r="AX168" s="57"/>
      <c r="AY168" s="57"/>
      <c r="AZ168" s="57"/>
      <c r="BA168" s="57"/>
      <c r="BB168" s="57"/>
    </row>
    <row r="169" spans="1:54" s="58" customFormat="1" ht="174" customHeight="1" x14ac:dyDescent="0.4">
      <c r="A169" s="200"/>
      <c r="B169" s="159"/>
      <c r="C169" s="200"/>
      <c r="D169" s="200"/>
      <c r="E169" s="200"/>
      <c r="F169" s="89" t="s">
        <v>33</v>
      </c>
      <c r="G169" s="27">
        <f>H169+I169+J169+K169+L169+M169+N169</f>
        <v>0</v>
      </c>
      <c r="H169" s="28">
        <v>0</v>
      </c>
      <c r="I169" s="27">
        <v>0</v>
      </c>
      <c r="J169" s="27">
        <v>0</v>
      </c>
      <c r="K169" s="27" t="s">
        <v>35</v>
      </c>
      <c r="L169" s="27">
        <v>0</v>
      </c>
      <c r="M169" s="125">
        <v>0</v>
      </c>
      <c r="N169" s="28" t="s">
        <v>35</v>
      </c>
      <c r="O169" s="27">
        <v>0</v>
      </c>
      <c r="P169" s="27" t="s">
        <v>35</v>
      </c>
      <c r="Q169" s="59"/>
      <c r="R169" s="59"/>
      <c r="S169" s="59"/>
      <c r="T169" s="59"/>
      <c r="U169" s="53"/>
      <c r="V169" s="53"/>
      <c r="W169" s="53"/>
      <c r="X169" s="53"/>
      <c r="Y169" s="82"/>
      <c r="Z169" s="82"/>
      <c r="AA169" s="53"/>
      <c r="AB169" s="53"/>
      <c r="AC169" s="57"/>
      <c r="AD169" s="57"/>
      <c r="AE169" s="57"/>
      <c r="AF169" s="57"/>
      <c r="AG169" s="57"/>
      <c r="AH169" s="57"/>
      <c r="AI169" s="57"/>
      <c r="AJ169" s="57"/>
      <c r="AK169" s="57"/>
      <c r="AL169" s="57"/>
      <c r="AM169" s="57"/>
      <c r="AN169" s="57"/>
      <c r="AO169" s="57"/>
      <c r="AP169" s="57"/>
      <c r="AQ169" s="57"/>
      <c r="AR169" s="57"/>
      <c r="AS169" s="57"/>
      <c r="AT169" s="57"/>
      <c r="AU169" s="57"/>
      <c r="AV169" s="57"/>
      <c r="AW169" s="57"/>
      <c r="AX169" s="57"/>
      <c r="AY169" s="57"/>
      <c r="AZ169" s="57"/>
      <c r="BA169" s="57"/>
      <c r="BB169" s="57"/>
    </row>
    <row r="170" spans="1:54" s="58" customFormat="1" ht="135" customHeight="1" x14ac:dyDescent="0.4">
      <c r="A170" s="198"/>
      <c r="B170" s="157" t="s">
        <v>104</v>
      </c>
      <c r="C170" s="198"/>
      <c r="D170" s="198"/>
      <c r="E170" s="198"/>
      <c r="F170" s="89" t="s">
        <v>26</v>
      </c>
      <c r="G170" s="27">
        <f t="shared" ref="G170:P170" si="54">G171+G172</f>
        <v>0</v>
      </c>
      <c r="H170" s="27">
        <f t="shared" si="54"/>
        <v>0</v>
      </c>
      <c r="I170" s="27">
        <f t="shared" si="54"/>
        <v>0</v>
      </c>
      <c r="J170" s="27">
        <f t="shared" si="54"/>
        <v>0</v>
      </c>
      <c r="K170" s="27">
        <f t="shared" si="54"/>
        <v>0</v>
      </c>
      <c r="L170" s="27">
        <f t="shared" si="54"/>
        <v>0</v>
      </c>
      <c r="M170" s="125">
        <f t="shared" si="54"/>
        <v>0</v>
      </c>
      <c r="N170" s="28">
        <f t="shared" si="54"/>
        <v>0</v>
      </c>
      <c r="O170" s="27">
        <f t="shared" si="54"/>
        <v>0</v>
      </c>
      <c r="P170" s="27">
        <f t="shared" si="54"/>
        <v>0</v>
      </c>
      <c r="Q170" s="53"/>
      <c r="R170" s="53"/>
      <c r="S170" s="53"/>
      <c r="T170" s="53"/>
      <c r="U170" s="53"/>
      <c r="V170" s="53"/>
      <c r="W170" s="53"/>
      <c r="X170" s="53"/>
      <c r="Y170" s="82"/>
      <c r="Z170" s="82"/>
      <c r="AA170" s="53"/>
      <c r="AB170" s="53"/>
      <c r="AC170" s="57"/>
      <c r="AD170" s="57"/>
      <c r="AE170" s="57"/>
      <c r="AF170" s="57"/>
      <c r="AG170" s="57"/>
      <c r="AH170" s="57"/>
      <c r="AI170" s="57"/>
      <c r="AJ170" s="57"/>
      <c r="AK170" s="57"/>
      <c r="AL170" s="57"/>
      <c r="AM170" s="57"/>
      <c r="AN170" s="57"/>
      <c r="AO170" s="57"/>
      <c r="AP170" s="57"/>
      <c r="AQ170" s="57"/>
      <c r="AR170" s="57"/>
      <c r="AS170" s="57"/>
      <c r="AT170" s="57"/>
      <c r="AU170" s="57"/>
      <c r="AV170" s="57"/>
      <c r="AW170" s="57"/>
      <c r="AX170" s="57"/>
      <c r="AY170" s="57"/>
      <c r="AZ170" s="57"/>
      <c r="BA170" s="57"/>
      <c r="BB170" s="57"/>
    </row>
    <row r="171" spans="1:54" s="58" customFormat="1" ht="222" customHeight="1" x14ac:dyDescent="0.4">
      <c r="A171" s="199"/>
      <c r="B171" s="158"/>
      <c r="C171" s="199"/>
      <c r="D171" s="199"/>
      <c r="E171" s="199"/>
      <c r="F171" s="89" t="s">
        <v>32</v>
      </c>
      <c r="G171" s="27">
        <f>H171+I171+J171+K171+L171+M171+N171</f>
        <v>0</v>
      </c>
      <c r="H171" s="28">
        <v>0</v>
      </c>
      <c r="I171" s="27">
        <v>0</v>
      </c>
      <c r="J171" s="27">
        <v>0</v>
      </c>
      <c r="K171" s="27">
        <v>0</v>
      </c>
      <c r="L171" s="27">
        <v>0</v>
      </c>
      <c r="M171" s="125">
        <v>0</v>
      </c>
      <c r="N171" s="146">
        <v>0</v>
      </c>
      <c r="O171" s="56">
        <v>0</v>
      </c>
      <c r="P171" s="56">
        <v>0</v>
      </c>
      <c r="Q171" s="53"/>
      <c r="R171" s="53"/>
      <c r="S171" s="53"/>
      <c r="T171" s="53"/>
      <c r="U171" s="53"/>
      <c r="V171" s="53"/>
      <c r="W171" s="53"/>
      <c r="X171" s="53"/>
      <c r="Y171" s="82"/>
      <c r="Z171" s="82"/>
      <c r="AA171" s="53"/>
      <c r="AB171" s="53"/>
      <c r="AC171" s="57"/>
      <c r="AD171" s="57"/>
      <c r="AE171" s="57"/>
      <c r="AF171" s="57"/>
      <c r="AG171" s="57"/>
      <c r="AH171" s="57"/>
      <c r="AI171" s="57"/>
      <c r="AJ171" s="57"/>
      <c r="AK171" s="57"/>
      <c r="AL171" s="57"/>
      <c r="AM171" s="57"/>
      <c r="AN171" s="57"/>
      <c r="AO171" s="57"/>
      <c r="AP171" s="57"/>
      <c r="AQ171" s="57"/>
      <c r="AR171" s="57"/>
      <c r="AS171" s="57"/>
      <c r="AT171" s="57"/>
      <c r="AU171" s="57"/>
      <c r="AV171" s="57"/>
      <c r="AW171" s="57"/>
      <c r="AX171" s="57"/>
      <c r="AY171" s="57"/>
      <c r="AZ171" s="57"/>
      <c r="BA171" s="57"/>
      <c r="BB171" s="57"/>
    </row>
    <row r="172" spans="1:54" s="58" customFormat="1" ht="198" customHeight="1" x14ac:dyDescent="0.4">
      <c r="A172" s="200"/>
      <c r="B172" s="159"/>
      <c r="C172" s="200"/>
      <c r="D172" s="200"/>
      <c r="E172" s="200"/>
      <c r="F172" s="89" t="s">
        <v>33</v>
      </c>
      <c r="G172" s="27">
        <f>H172+I172+J172+K172+L172+M172+N172</f>
        <v>0</v>
      </c>
      <c r="H172" s="28">
        <v>0</v>
      </c>
      <c r="I172" s="27">
        <v>0</v>
      </c>
      <c r="J172" s="27">
        <v>0</v>
      </c>
      <c r="K172" s="27" t="s">
        <v>35</v>
      </c>
      <c r="L172" s="27">
        <v>0</v>
      </c>
      <c r="M172" s="125">
        <v>0</v>
      </c>
      <c r="N172" s="28" t="s">
        <v>35</v>
      </c>
      <c r="O172" s="27">
        <v>0</v>
      </c>
      <c r="P172" s="27" t="s">
        <v>35</v>
      </c>
      <c r="Q172" s="59"/>
      <c r="R172" s="59"/>
      <c r="S172" s="59"/>
      <c r="T172" s="59"/>
      <c r="U172" s="53"/>
      <c r="V172" s="53"/>
      <c r="W172" s="53"/>
      <c r="X172" s="53"/>
      <c r="Y172" s="82"/>
      <c r="Z172" s="82"/>
      <c r="AA172" s="53"/>
      <c r="AB172" s="53"/>
      <c r="AC172" s="57"/>
      <c r="AD172" s="57"/>
      <c r="AE172" s="57"/>
      <c r="AF172" s="57"/>
      <c r="AG172" s="57"/>
      <c r="AH172" s="57"/>
      <c r="AI172" s="57"/>
      <c r="AJ172" s="57"/>
      <c r="AK172" s="57"/>
      <c r="AL172" s="57"/>
      <c r="AM172" s="57"/>
      <c r="AN172" s="57"/>
      <c r="AO172" s="57"/>
      <c r="AP172" s="57"/>
      <c r="AQ172" s="57"/>
      <c r="AR172" s="57"/>
      <c r="AS172" s="57"/>
      <c r="AT172" s="57"/>
      <c r="AU172" s="57"/>
      <c r="AV172" s="57"/>
      <c r="AW172" s="57"/>
      <c r="AX172" s="57"/>
      <c r="AY172" s="57"/>
      <c r="AZ172" s="57"/>
      <c r="BA172" s="57"/>
      <c r="BB172" s="57"/>
    </row>
    <row r="173" spans="1:54" s="22" customFormat="1" ht="385.5" customHeight="1" x14ac:dyDescent="0.4">
      <c r="A173" s="95"/>
      <c r="B173" s="89" t="s">
        <v>105</v>
      </c>
      <c r="C173" s="24">
        <v>2019</v>
      </c>
      <c r="D173" s="24">
        <v>2027</v>
      </c>
      <c r="E173" s="89" t="s">
        <v>106</v>
      </c>
      <c r="F173" s="89" t="s">
        <v>21</v>
      </c>
      <c r="G173" s="27" t="s">
        <v>21</v>
      </c>
      <c r="H173" s="28" t="s">
        <v>21</v>
      </c>
      <c r="I173" s="27" t="s">
        <v>21</v>
      </c>
      <c r="J173" s="27" t="s">
        <v>21</v>
      </c>
      <c r="K173" s="27" t="s">
        <v>21</v>
      </c>
      <c r="L173" s="27" t="s">
        <v>21</v>
      </c>
      <c r="M173" s="125" t="s">
        <v>21</v>
      </c>
      <c r="N173" s="28" t="s">
        <v>21</v>
      </c>
      <c r="O173" s="27" t="s">
        <v>21</v>
      </c>
      <c r="P173" s="27" t="s">
        <v>21</v>
      </c>
      <c r="Q173" s="89" t="s">
        <v>21</v>
      </c>
      <c r="R173" s="89" t="s">
        <v>21</v>
      </c>
      <c r="S173" s="89" t="s">
        <v>21</v>
      </c>
      <c r="T173" s="89" t="s">
        <v>21</v>
      </c>
      <c r="U173" s="89" t="s">
        <v>21</v>
      </c>
      <c r="V173" s="89" t="s">
        <v>21</v>
      </c>
      <c r="W173" s="89" t="s">
        <v>21</v>
      </c>
      <c r="X173" s="89" t="s">
        <v>21</v>
      </c>
      <c r="Y173" s="89" t="s">
        <v>21</v>
      </c>
      <c r="Z173" s="97" t="s">
        <v>21</v>
      </c>
      <c r="AA173" s="97" t="s">
        <v>21</v>
      </c>
      <c r="AB173" s="97" t="s">
        <v>21</v>
      </c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</row>
    <row r="174" spans="1:54" s="22" customFormat="1" ht="156" customHeight="1" x14ac:dyDescent="0.4">
      <c r="A174" s="208"/>
      <c r="B174" s="154" t="s">
        <v>107</v>
      </c>
      <c r="C174" s="198"/>
      <c r="D174" s="198"/>
      <c r="E174" s="198"/>
      <c r="F174" s="89" t="s">
        <v>26</v>
      </c>
      <c r="G174" s="27">
        <f t="shared" ref="G174:P174" si="55">G175+G176</f>
        <v>115327054.45</v>
      </c>
      <c r="H174" s="27">
        <f t="shared" si="55"/>
        <v>11863418.289999999</v>
      </c>
      <c r="I174" s="27">
        <f t="shared" si="55"/>
        <v>15162450.850000001</v>
      </c>
      <c r="J174" s="27">
        <f t="shared" si="55"/>
        <v>13700489.980000002</v>
      </c>
      <c r="K174" s="27">
        <f t="shared" si="55"/>
        <v>14050424.17</v>
      </c>
      <c r="L174" s="27">
        <f t="shared" si="55"/>
        <v>15146144.039999999</v>
      </c>
      <c r="M174" s="125">
        <f t="shared" si="55"/>
        <v>22654322.879999999</v>
      </c>
      <c r="N174" s="28">
        <f t="shared" si="55"/>
        <v>22749804.240000002</v>
      </c>
      <c r="O174" s="27">
        <f t="shared" si="55"/>
        <v>28803655.16</v>
      </c>
      <c r="P174" s="27">
        <f t="shared" si="55"/>
        <v>18474288.16</v>
      </c>
      <c r="Q174" s="157" t="s">
        <v>108</v>
      </c>
      <c r="R174" s="157" t="s">
        <v>38</v>
      </c>
      <c r="S174" s="157" t="s">
        <v>48</v>
      </c>
      <c r="T174" s="157">
        <v>7.4</v>
      </c>
      <c r="U174" s="157">
        <v>7.5</v>
      </c>
      <c r="V174" s="157">
        <v>7.6</v>
      </c>
      <c r="W174" s="157">
        <v>7.7</v>
      </c>
      <c r="X174" s="157">
        <v>7.8</v>
      </c>
      <c r="Y174" s="157">
        <v>7.9</v>
      </c>
      <c r="Z174" s="201">
        <v>8</v>
      </c>
      <c r="AA174" s="201">
        <v>8</v>
      </c>
      <c r="AB174" s="201">
        <v>8</v>
      </c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</row>
    <row r="175" spans="1:54" s="22" customFormat="1" ht="265.5" customHeight="1" x14ac:dyDescent="0.4">
      <c r="A175" s="208"/>
      <c r="B175" s="155"/>
      <c r="C175" s="199"/>
      <c r="D175" s="199"/>
      <c r="E175" s="199"/>
      <c r="F175" s="89" t="s">
        <v>32</v>
      </c>
      <c r="G175" s="27">
        <f>SUM(H175:N175)</f>
        <v>75919730.079999998</v>
      </c>
      <c r="H175" s="27">
        <f>H178+H181+H184+H187+H196+H199</f>
        <v>9789958.2899999991</v>
      </c>
      <c r="I175" s="27">
        <f>I178+I181+I184+I187+I196+I199+I202</f>
        <v>9962878.4800000004</v>
      </c>
      <c r="J175" s="27">
        <f t="shared" ref="J175:P176" si="56">J178+J181+J184+J187+J196+J199</f>
        <v>9742341.9800000023</v>
      </c>
      <c r="K175" s="27">
        <f t="shared" si="56"/>
        <v>9469562.1699999999</v>
      </c>
      <c r="L175" s="27">
        <f t="shared" si="56"/>
        <v>9438060.0399999991</v>
      </c>
      <c r="M175" s="125">
        <f t="shared" si="56"/>
        <v>15098603.879999999</v>
      </c>
      <c r="N175" s="28">
        <f t="shared" si="56"/>
        <v>12418325.24</v>
      </c>
      <c r="O175" s="27">
        <f t="shared" si="56"/>
        <v>18472176.16</v>
      </c>
      <c r="P175" s="27">
        <f t="shared" si="56"/>
        <v>18474288.16</v>
      </c>
      <c r="Q175" s="158"/>
      <c r="R175" s="158"/>
      <c r="S175" s="158"/>
      <c r="T175" s="158"/>
      <c r="U175" s="158"/>
      <c r="V175" s="158"/>
      <c r="W175" s="158"/>
      <c r="X175" s="158"/>
      <c r="Y175" s="158"/>
      <c r="Z175" s="205"/>
      <c r="AA175" s="205"/>
      <c r="AB175" s="205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</row>
    <row r="176" spans="1:54" s="22" customFormat="1" ht="205.5" customHeight="1" x14ac:dyDescent="0.4">
      <c r="A176" s="208"/>
      <c r="B176" s="156"/>
      <c r="C176" s="200"/>
      <c r="D176" s="200"/>
      <c r="E176" s="200"/>
      <c r="F176" s="89" t="s">
        <v>33</v>
      </c>
      <c r="G176" s="27">
        <f>SUM(H176:N176)</f>
        <v>39407324.370000005</v>
      </c>
      <c r="H176" s="27">
        <f>H179+H182+H185+H188+H197+H200</f>
        <v>2073460</v>
      </c>
      <c r="I176" s="27">
        <f>I179+I182+I185+I188+I197+I200+I203</f>
        <v>5199572.37</v>
      </c>
      <c r="J176" s="27">
        <f t="shared" si="56"/>
        <v>3958148</v>
      </c>
      <c r="K176" s="27">
        <f t="shared" si="56"/>
        <v>4580862</v>
      </c>
      <c r="L176" s="27">
        <f t="shared" si="56"/>
        <v>5708084</v>
      </c>
      <c r="M176" s="125">
        <f t="shared" si="56"/>
        <v>7555719</v>
      </c>
      <c r="N176" s="28">
        <f t="shared" si="56"/>
        <v>10331479</v>
      </c>
      <c r="O176" s="28">
        <f t="shared" si="56"/>
        <v>10331479</v>
      </c>
      <c r="P176" s="27">
        <f t="shared" si="56"/>
        <v>0</v>
      </c>
      <c r="Q176" s="159"/>
      <c r="R176" s="159"/>
      <c r="S176" s="159"/>
      <c r="T176" s="159"/>
      <c r="U176" s="159"/>
      <c r="V176" s="159"/>
      <c r="W176" s="159"/>
      <c r="X176" s="159"/>
      <c r="Y176" s="159"/>
      <c r="Z176" s="202"/>
      <c r="AA176" s="202"/>
      <c r="AB176" s="202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</row>
    <row r="177" spans="1:54" s="22" customFormat="1" ht="78.75" x14ac:dyDescent="0.4">
      <c r="A177" s="208"/>
      <c r="B177" s="157" t="s">
        <v>109</v>
      </c>
      <c r="C177" s="198"/>
      <c r="D177" s="198"/>
      <c r="E177" s="198"/>
      <c r="F177" s="89" t="s">
        <v>26</v>
      </c>
      <c r="G177" s="27">
        <f t="shared" ref="G177:P177" si="57">G178+G179</f>
        <v>20000</v>
      </c>
      <c r="H177" s="27">
        <f t="shared" si="57"/>
        <v>20000</v>
      </c>
      <c r="I177" s="27">
        <f t="shared" si="57"/>
        <v>0</v>
      </c>
      <c r="J177" s="27">
        <f t="shared" si="57"/>
        <v>0</v>
      </c>
      <c r="K177" s="27">
        <f t="shared" si="57"/>
        <v>0</v>
      </c>
      <c r="L177" s="27">
        <f t="shared" si="57"/>
        <v>0</v>
      </c>
      <c r="M177" s="125">
        <f t="shared" si="57"/>
        <v>0</v>
      </c>
      <c r="N177" s="28">
        <f t="shared" si="57"/>
        <v>0</v>
      </c>
      <c r="O177" s="28">
        <f t="shared" si="57"/>
        <v>0</v>
      </c>
      <c r="P177" s="27">
        <f t="shared" si="57"/>
        <v>0</v>
      </c>
      <c r="Q177" s="157" t="s">
        <v>27</v>
      </c>
      <c r="R177" s="157" t="s">
        <v>28</v>
      </c>
      <c r="S177" s="157" t="s">
        <v>29</v>
      </c>
      <c r="T177" s="157" t="s">
        <v>28</v>
      </c>
      <c r="U177" s="157" t="s">
        <v>30</v>
      </c>
      <c r="V177" s="157" t="s">
        <v>27</v>
      </c>
      <c r="W177" s="157" t="s">
        <v>31</v>
      </c>
      <c r="X177" s="157" t="s">
        <v>28</v>
      </c>
      <c r="Y177" s="157" t="s">
        <v>30</v>
      </c>
      <c r="Z177" s="201" t="s">
        <v>27</v>
      </c>
      <c r="AA177" s="201" t="s">
        <v>27</v>
      </c>
      <c r="AB177" s="201" t="s">
        <v>27</v>
      </c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</row>
    <row r="178" spans="1:54" s="22" customFormat="1" ht="228" customHeight="1" x14ac:dyDescent="0.4">
      <c r="A178" s="208"/>
      <c r="B178" s="158"/>
      <c r="C178" s="199"/>
      <c r="D178" s="199"/>
      <c r="E178" s="199"/>
      <c r="F178" s="89" t="s">
        <v>32</v>
      </c>
      <c r="G178" s="27">
        <f>H178+I178+J178+K178+L178+M178+N178</f>
        <v>20000</v>
      </c>
      <c r="H178" s="28">
        <v>20000</v>
      </c>
      <c r="I178" s="27">
        <v>0</v>
      </c>
      <c r="J178" s="27">
        <v>0</v>
      </c>
      <c r="K178" s="27">
        <v>0</v>
      </c>
      <c r="L178" s="27">
        <v>0</v>
      </c>
      <c r="M178" s="125">
        <v>0</v>
      </c>
      <c r="N178" s="28">
        <v>0</v>
      </c>
      <c r="O178" s="27">
        <v>0</v>
      </c>
      <c r="P178" s="27">
        <v>0</v>
      </c>
      <c r="Q178" s="158"/>
      <c r="R178" s="158"/>
      <c r="S178" s="158"/>
      <c r="T178" s="158"/>
      <c r="U178" s="158"/>
      <c r="V178" s="158"/>
      <c r="W178" s="158"/>
      <c r="X178" s="158"/>
      <c r="Y178" s="158"/>
      <c r="Z178" s="205"/>
      <c r="AA178" s="205"/>
      <c r="AB178" s="205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</row>
    <row r="179" spans="1:54" s="22" customFormat="1" ht="174" customHeight="1" x14ac:dyDescent="0.4">
      <c r="A179" s="208"/>
      <c r="B179" s="159"/>
      <c r="C179" s="200"/>
      <c r="D179" s="200"/>
      <c r="E179" s="200"/>
      <c r="F179" s="89" t="s">
        <v>33</v>
      </c>
      <c r="G179" s="27">
        <f>H179+I179+J179+K179+L179+M179+N179</f>
        <v>0</v>
      </c>
      <c r="H179" s="28">
        <v>0</v>
      </c>
      <c r="I179" s="27">
        <v>0</v>
      </c>
      <c r="J179" s="27">
        <v>0</v>
      </c>
      <c r="K179" s="27">
        <v>0</v>
      </c>
      <c r="L179" s="27">
        <v>0</v>
      </c>
      <c r="M179" s="125">
        <v>0</v>
      </c>
      <c r="N179" s="28" t="s">
        <v>35</v>
      </c>
      <c r="O179" s="27">
        <v>0</v>
      </c>
      <c r="P179" s="27" t="s">
        <v>35</v>
      </c>
      <c r="Q179" s="159"/>
      <c r="R179" s="159"/>
      <c r="S179" s="159"/>
      <c r="T179" s="159"/>
      <c r="U179" s="159"/>
      <c r="V179" s="159"/>
      <c r="W179" s="159"/>
      <c r="X179" s="159"/>
      <c r="Y179" s="159"/>
      <c r="Z179" s="202"/>
      <c r="AA179" s="202"/>
      <c r="AB179" s="202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</row>
    <row r="180" spans="1:54" s="22" customFormat="1" ht="111" customHeight="1" x14ac:dyDescent="0.4">
      <c r="A180" s="208"/>
      <c r="B180" s="157" t="s">
        <v>110</v>
      </c>
      <c r="C180" s="198"/>
      <c r="D180" s="198"/>
      <c r="E180" s="198"/>
      <c r="F180" s="89" t="s">
        <v>26</v>
      </c>
      <c r="G180" s="27">
        <f>G181+G182</f>
        <v>63000</v>
      </c>
      <c r="H180" s="27">
        <f>H181+H182</f>
        <v>9000</v>
      </c>
      <c r="I180" s="27">
        <f>I181+I182</f>
        <v>9000</v>
      </c>
      <c r="J180" s="27">
        <v>9000</v>
      </c>
      <c r="K180" s="27">
        <f t="shared" ref="K180:P180" si="58">K181+K182</f>
        <v>9000</v>
      </c>
      <c r="L180" s="27">
        <f t="shared" si="58"/>
        <v>9000</v>
      </c>
      <c r="M180" s="125">
        <f t="shared" si="58"/>
        <v>9000</v>
      </c>
      <c r="N180" s="28">
        <f t="shared" si="58"/>
        <v>9000</v>
      </c>
      <c r="O180" s="28">
        <f t="shared" si="58"/>
        <v>9000</v>
      </c>
      <c r="P180" s="27">
        <f t="shared" si="58"/>
        <v>9000</v>
      </c>
      <c r="Q180" s="157" t="s">
        <v>27</v>
      </c>
      <c r="R180" s="157" t="s">
        <v>28</v>
      </c>
      <c r="S180" s="157" t="s">
        <v>29</v>
      </c>
      <c r="T180" s="157" t="s">
        <v>28</v>
      </c>
      <c r="U180" s="157" t="s">
        <v>30</v>
      </c>
      <c r="V180" s="157" t="s">
        <v>27</v>
      </c>
      <c r="W180" s="157" t="s">
        <v>31</v>
      </c>
      <c r="X180" s="157" t="s">
        <v>28</v>
      </c>
      <c r="Y180" s="157" t="s">
        <v>30</v>
      </c>
      <c r="Z180" s="201" t="s">
        <v>27</v>
      </c>
      <c r="AA180" s="201" t="s">
        <v>27</v>
      </c>
      <c r="AB180" s="201" t="s">
        <v>27</v>
      </c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</row>
    <row r="181" spans="1:54" s="22" customFormat="1" ht="219" customHeight="1" x14ac:dyDescent="0.4">
      <c r="A181" s="208"/>
      <c r="B181" s="158"/>
      <c r="C181" s="199"/>
      <c r="D181" s="199"/>
      <c r="E181" s="199"/>
      <c r="F181" s="89" t="s">
        <v>32</v>
      </c>
      <c r="G181" s="27">
        <f>H181+I181+J181+K181+L181+M181+N181</f>
        <v>63000</v>
      </c>
      <c r="H181" s="28">
        <v>9000</v>
      </c>
      <c r="I181" s="27">
        <v>9000</v>
      </c>
      <c r="J181" s="27">
        <v>9000</v>
      </c>
      <c r="K181" s="27">
        <v>9000</v>
      </c>
      <c r="L181" s="27">
        <v>9000</v>
      </c>
      <c r="M181" s="125">
        <v>9000</v>
      </c>
      <c r="N181" s="28">
        <v>9000</v>
      </c>
      <c r="O181" s="27">
        <v>9000</v>
      </c>
      <c r="P181" s="27">
        <v>9000</v>
      </c>
      <c r="Q181" s="158"/>
      <c r="R181" s="158"/>
      <c r="S181" s="158"/>
      <c r="T181" s="158"/>
      <c r="U181" s="158"/>
      <c r="V181" s="158"/>
      <c r="W181" s="158"/>
      <c r="X181" s="158"/>
      <c r="Y181" s="158"/>
      <c r="Z181" s="205"/>
      <c r="AA181" s="205"/>
      <c r="AB181" s="205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</row>
    <row r="182" spans="1:54" s="22" customFormat="1" ht="174" customHeight="1" x14ac:dyDescent="0.4">
      <c r="A182" s="208"/>
      <c r="B182" s="159"/>
      <c r="C182" s="200"/>
      <c r="D182" s="200"/>
      <c r="E182" s="200"/>
      <c r="F182" s="89" t="s">
        <v>33</v>
      </c>
      <c r="G182" s="27">
        <f>H182+I182+J182+K182+L182+M182+N182</f>
        <v>0</v>
      </c>
      <c r="H182" s="28" t="s">
        <v>35</v>
      </c>
      <c r="I182" s="27" t="s">
        <v>35</v>
      </c>
      <c r="J182" s="27" t="s">
        <v>35</v>
      </c>
      <c r="K182" s="27" t="s">
        <v>35</v>
      </c>
      <c r="L182" s="27" t="s">
        <v>35</v>
      </c>
      <c r="M182" s="125" t="s">
        <v>35</v>
      </c>
      <c r="N182" s="28" t="s">
        <v>35</v>
      </c>
      <c r="O182" s="27">
        <v>0</v>
      </c>
      <c r="P182" s="27" t="s">
        <v>35</v>
      </c>
      <c r="Q182" s="159"/>
      <c r="R182" s="159"/>
      <c r="S182" s="159"/>
      <c r="T182" s="159"/>
      <c r="U182" s="159"/>
      <c r="V182" s="159"/>
      <c r="W182" s="159"/>
      <c r="X182" s="159"/>
      <c r="Y182" s="159"/>
      <c r="Z182" s="202"/>
      <c r="AA182" s="202"/>
      <c r="AB182" s="202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</row>
    <row r="183" spans="1:54" s="22" customFormat="1" ht="123" customHeight="1" x14ac:dyDescent="0.4">
      <c r="A183" s="198"/>
      <c r="B183" s="157" t="s">
        <v>111</v>
      </c>
      <c r="C183" s="198"/>
      <c r="D183" s="198"/>
      <c r="E183" s="198"/>
      <c r="F183" s="89" t="s">
        <v>26</v>
      </c>
      <c r="G183" s="27">
        <f t="shared" ref="G183:P183" si="59">G184+G185</f>
        <v>0</v>
      </c>
      <c r="H183" s="27">
        <f t="shared" si="59"/>
        <v>0</v>
      </c>
      <c r="I183" s="27">
        <f t="shared" si="59"/>
        <v>0</v>
      </c>
      <c r="J183" s="27">
        <f t="shared" si="59"/>
        <v>0</v>
      </c>
      <c r="K183" s="27">
        <f t="shared" si="59"/>
        <v>0</v>
      </c>
      <c r="L183" s="27">
        <f t="shared" si="59"/>
        <v>0</v>
      </c>
      <c r="M183" s="125">
        <f t="shared" si="59"/>
        <v>0</v>
      </c>
      <c r="N183" s="28">
        <f t="shared" si="59"/>
        <v>0</v>
      </c>
      <c r="O183" s="28">
        <f t="shared" si="59"/>
        <v>0</v>
      </c>
      <c r="P183" s="27">
        <f t="shared" si="59"/>
        <v>0</v>
      </c>
      <c r="Q183" s="157" t="s">
        <v>27</v>
      </c>
      <c r="R183" s="157" t="s">
        <v>28</v>
      </c>
      <c r="S183" s="157" t="s">
        <v>29</v>
      </c>
      <c r="T183" s="157" t="s">
        <v>28</v>
      </c>
      <c r="U183" s="157" t="s">
        <v>30</v>
      </c>
      <c r="V183" s="157" t="s">
        <v>27</v>
      </c>
      <c r="W183" s="157" t="s">
        <v>31</v>
      </c>
      <c r="X183" s="157" t="s">
        <v>28</v>
      </c>
      <c r="Y183" s="157" t="s">
        <v>30</v>
      </c>
      <c r="Z183" s="201" t="s">
        <v>27</v>
      </c>
      <c r="AA183" s="201" t="s">
        <v>27</v>
      </c>
      <c r="AB183" s="201" t="s">
        <v>27</v>
      </c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</row>
    <row r="184" spans="1:54" s="22" customFormat="1" ht="219" customHeight="1" x14ac:dyDescent="0.4">
      <c r="A184" s="199"/>
      <c r="B184" s="158"/>
      <c r="C184" s="199"/>
      <c r="D184" s="199"/>
      <c r="E184" s="199"/>
      <c r="F184" s="89" t="s">
        <v>32</v>
      </c>
      <c r="G184" s="27">
        <f>H184+I184+J184+K184+L184+M184+N184</f>
        <v>0</v>
      </c>
      <c r="H184" s="28">
        <v>0</v>
      </c>
      <c r="I184" s="27">
        <v>0</v>
      </c>
      <c r="J184" s="27">
        <v>0</v>
      </c>
      <c r="K184" s="27">
        <v>0</v>
      </c>
      <c r="L184" s="27">
        <v>0</v>
      </c>
      <c r="M184" s="125">
        <v>0</v>
      </c>
      <c r="N184" s="28">
        <v>0</v>
      </c>
      <c r="O184" s="27">
        <v>0</v>
      </c>
      <c r="P184" s="27">
        <v>0</v>
      </c>
      <c r="Q184" s="158"/>
      <c r="R184" s="158"/>
      <c r="S184" s="158"/>
      <c r="T184" s="158"/>
      <c r="U184" s="158"/>
      <c r="V184" s="158"/>
      <c r="W184" s="158"/>
      <c r="X184" s="158"/>
      <c r="Y184" s="158"/>
      <c r="Z184" s="205"/>
      <c r="AA184" s="205"/>
      <c r="AB184" s="205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</row>
    <row r="185" spans="1:54" s="22" customFormat="1" ht="174" customHeight="1" x14ac:dyDescent="0.4">
      <c r="A185" s="200"/>
      <c r="B185" s="159"/>
      <c r="C185" s="200"/>
      <c r="D185" s="200"/>
      <c r="E185" s="200"/>
      <c r="F185" s="89" t="s">
        <v>33</v>
      </c>
      <c r="G185" s="27">
        <f>SUM(H185:N185)</f>
        <v>0</v>
      </c>
      <c r="H185" s="28">
        <v>0</v>
      </c>
      <c r="I185" s="27">
        <v>0</v>
      </c>
      <c r="J185" s="27">
        <v>0</v>
      </c>
      <c r="K185" s="27">
        <v>0</v>
      </c>
      <c r="L185" s="27">
        <v>0</v>
      </c>
      <c r="M185" s="125">
        <v>0</v>
      </c>
      <c r="N185" s="28" t="s">
        <v>35</v>
      </c>
      <c r="O185" s="27">
        <v>0</v>
      </c>
      <c r="P185" s="27" t="s">
        <v>35</v>
      </c>
      <c r="Q185" s="159"/>
      <c r="R185" s="159"/>
      <c r="S185" s="159"/>
      <c r="T185" s="159"/>
      <c r="U185" s="159"/>
      <c r="V185" s="159"/>
      <c r="W185" s="159"/>
      <c r="X185" s="159"/>
      <c r="Y185" s="159"/>
      <c r="Z185" s="202"/>
      <c r="AA185" s="202"/>
      <c r="AB185" s="202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</row>
    <row r="186" spans="1:54" s="22" customFormat="1" ht="118.5" customHeight="1" x14ac:dyDescent="0.4">
      <c r="A186" s="198"/>
      <c r="B186" s="157" t="s">
        <v>112</v>
      </c>
      <c r="C186" s="198"/>
      <c r="D186" s="198"/>
      <c r="E186" s="198"/>
      <c r="F186" s="89" t="s">
        <v>26</v>
      </c>
      <c r="G186" s="27">
        <f t="shared" ref="G186:P186" si="60">G187+G188</f>
        <v>112566595.83</v>
      </c>
      <c r="H186" s="27">
        <f t="shared" si="60"/>
        <v>11807522.289999999</v>
      </c>
      <c r="I186" s="27">
        <f t="shared" si="60"/>
        <v>12502888.23</v>
      </c>
      <c r="J186" s="27">
        <f t="shared" si="60"/>
        <v>13691489.980000002</v>
      </c>
      <c r="K186" s="27">
        <f t="shared" si="60"/>
        <v>14041424.17</v>
      </c>
      <c r="L186" s="27">
        <f t="shared" si="60"/>
        <v>15137144.039999999</v>
      </c>
      <c r="M186" s="125">
        <f t="shared" si="60"/>
        <v>22645322.879999999</v>
      </c>
      <c r="N186" s="28">
        <f t="shared" si="60"/>
        <v>22740804.240000002</v>
      </c>
      <c r="O186" s="27">
        <f t="shared" si="60"/>
        <v>28794655.16</v>
      </c>
      <c r="P186" s="27">
        <f t="shared" si="60"/>
        <v>18465288.16</v>
      </c>
      <c r="Q186" s="157" t="s">
        <v>27</v>
      </c>
      <c r="R186" s="157" t="s">
        <v>28</v>
      </c>
      <c r="S186" s="157" t="s">
        <v>29</v>
      </c>
      <c r="T186" s="157" t="s">
        <v>28</v>
      </c>
      <c r="U186" s="157" t="s">
        <v>30</v>
      </c>
      <c r="V186" s="157" t="s">
        <v>27</v>
      </c>
      <c r="W186" s="157" t="s">
        <v>31</v>
      </c>
      <c r="X186" s="157" t="s">
        <v>28</v>
      </c>
      <c r="Y186" s="157" t="s">
        <v>30</v>
      </c>
      <c r="Z186" s="201" t="s">
        <v>27</v>
      </c>
      <c r="AA186" s="201" t="s">
        <v>27</v>
      </c>
      <c r="AB186" s="201" t="s">
        <v>27</v>
      </c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</row>
    <row r="187" spans="1:54" s="22" customFormat="1" ht="261" customHeight="1" x14ac:dyDescent="0.4">
      <c r="A187" s="199"/>
      <c r="B187" s="158"/>
      <c r="C187" s="199"/>
      <c r="D187" s="199"/>
      <c r="E187" s="199"/>
      <c r="F187" s="89" t="s">
        <v>32</v>
      </c>
      <c r="G187" s="27">
        <f>H187+I187+J187+K187+L187+M187+N187</f>
        <v>75756822.829999998</v>
      </c>
      <c r="H187" s="28">
        <v>9734062.2899999991</v>
      </c>
      <c r="I187" s="27">
        <f>8019174.2+518127.97+524471.23+168628.45+193246.38+36229+99500+99800+201690+40000</f>
        <v>9900867.2300000004</v>
      </c>
      <c r="J187" s="27">
        <f>9677475.56+18000+7500-7500+13000+3376+40000+6000-12754.79-11754.79</f>
        <v>9733341.9800000023</v>
      </c>
      <c r="K187" s="27">
        <f>7257246.4+443474.16+2191688.4+133929.2+4530+18000+112+895-687.4-207.6-4536.7-1370+191-3828-153377-91847.73+42525.1-376174.66</f>
        <v>9460562.1699999999</v>
      </c>
      <c r="L187" s="27">
        <f>66000+7303080+532223+4530+2205529.59+160731.48+42391.04+9484+50000-40949.59-162050-741909.48</f>
        <v>9429060.0399999991</v>
      </c>
      <c r="M187" s="125">
        <f>22844904.27-9000-7555719-190581.39</f>
        <v>15089603.879999999</v>
      </c>
      <c r="N187" s="28">
        <f>11720089.71+50755+36000+135879.53+466601</f>
        <v>12409325.24</v>
      </c>
      <c r="O187" s="27">
        <f>18374391.16+52785+36000</f>
        <v>18463176.16</v>
      </c>
      <c r="P187" s="27">
        <f>18374391.16+54897+36000</f>
        <v>18465288.16</v>
      </c>
      <c r="Q187" s="158"/>
      <c r="R187" s="158"/>
      <c r="S187" s="158"/>
      <c r="T187" s="158"/>
      <c r="U187" s="158"/>
      <c r="V187" s="158"/>
      <c r="W187" s="158"/>
      <c r="X187" s="158"/>
      <c r="Y187" s="158"/>
      <c r="Z187" s="205"/>
      <c r="AA187" s="205"/>
      <c r="AB187" s="205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</row>
    <row r="188" spans="1:54" s="22" customFormat="1" ht="174" customHeight="1" x14ac:dyDescent="0.4">
      <c r="A188" s="200"/>
      <c r="B188" s="159"/>
      <c r="C188" s="200"/>
      <c r="D188" s="200"/>
      <c r="E188" s="200"/>
      <c r="F188" s="89" t="s">
        <v>33</v>
      </c>
      <c r="G188" s="27">
        <f>SUM(H188:N188)</f>
        <v>36809773</v>
      </c>
      <c r="H188" s="28">
        <v>2073460</v>
      </c>
      <c r="I188" s="27">
        <v>2602021</v>
      </c>
      <c r="J188" s="27">
        <f>2602021+1356127</f>
        <v>3958148</v>
      </c>
      <c r="K188" s="27">
        <f>2717362+715097+9324+1139079</f>
        <v>4580862</v>
      </c>
      <c r="L188" s="27">
        <f>2390972+9327+2997835+242239+67711</f>
        <v>5708084</v>
      </c>
      <c r="M188" s="125">
        <f>9327+4692538+2853854</f>
        <v>7555719</v>
      </c>
      <c r="N188" s="28">
        <f>10322152+9327</f>
        <v>10331479</v>
      </c>
      <c r="O188" s="28">
        <f>10322152+9327</f>
        <v>10331479</v>
      </c>
      <c r="P188" s="27" t="s">
        <v>35</v>
      </c>
      <c r="Q188" s="159"/>
      <c r="R188" s="159"/>
      <c r="S188" s="159"/>
      <c r="T188" s="159"/>
      <c r="U188" s="159"/>
      <c r="V188" s="159"/>
      <c r="W188" s="159"/>
      <c r="X188" s="159"/>
      <c r="Y188" s="159"/>
      <c r="Z188" s="202"/>
      <c r="AA188" s="202"/>
      <c r="AB188" s="202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</row>
    <row r="189" spans="1:54" s="22" customFormat="1" ht="147.75" customHeight="1" x14ac:dyDescent="0.4">
      <c r="A189" s="198"/>
      <c r="B189" s="157" t="s">
        <v>102</v>
      </c>
      <c r="C189" s="198"/>
      <c r="D189" s="198"/>
      <c r="E189" s="198"/>
      <c r="F189" s="89" t="s">
        <v>26</v>
      </c>
      <c r="G189" s="27">
        <f t="shared" ref="G189:P189" si="61">G190+G191</f>
        <v>97873062.120000005</v>
      </c>
      <c r="H189" s="27">
        <f t="shared" si="61"/>
        <v>10002519.01</v>
      </c>
      <c r="I189" s="27">
        <f t="shared" si="61"/>
        <v>10621195.199999999</v>
      </c>
      <c r="J189" s="27">
        <f t="shared" si="61"/>
        <v>12378281.18</v>
      </c>
      <c r="K189" s="27">
        <f t="shared" si="61"/>
        <v>12801843</v>
      </c>
      <c r="L189" s="27">
        <f t="shared" si="61"/>
        <v>13920389</v>
      </c>
      <c r="M189" s="125">
        <f t="shared" si="61"/>
        <v>18348044.399999999</v>
      </c>
      <c r="N189" s="28">
        <f t="shared" si="61"/>
        <v>19800790.329999998</v>
      </c>
      <c r="O189" s="27">
        <f t="shared" si="61"/>
        <v>19800790.329999998</v>
      </c>
      <c r="P189" s="27">
        <f t="shared" si="61"/>
        <v>0</v>
      </c>
      <c r="Q189" s="157" t="s">
        <v>113</v>
      </c>
      <c r="R189" s="157" t="s">
        <v>38</v>
      </c>
      <c r="S189" s="157"/>
      <c r="T189" s="157">
        <v>100</v>
      </c>
      <c r="U189" s="157">
        <v>100</v>
      </c>
      <c r="V189" s="157">
        <v>95</v>
      </c>
      <c r="W189" s="157">
        <v>95.96</v>
      </c>
      <c r="X189" s="157">
        <v>92.9</v>
      </c>
      <c r="Y189" s="157">
        <v>100</v>
      </c>
      <c r="Z189" s="157">
        <v>91.78</v>
      </c>
      <c r="AA189" s="157">
        <v>91.78</v>
      </c>
      <c r="AB189" s="157">
        <v>91.78</v>
      </c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</row>
    <row r="190" spans="1:54" s="22" customFormat="1" ht="240" customHeight="1" x14ac:dyDescent="0.4">
      <c r="A190" s="199"/>
      <c r="B190" s="158"/>
      <c r="C190" s="199"/>
      <c r="D190" s="199"/>
      <c r="E190" s="199"/>
      <c r="F190" s="89" t="s">
        <v>32</v>
      </c>
      <c r="G190" s="27">
        <f>H190+I190+J190+K190+L190+M190+N190</f>
        <v>61100594.119999997</v>
      </c>
      <c r="H190" s="28">
        <v>7929059.0099999998</v>
      </c>
      <c r="I190" s="27">
        <v>8019174.2000000002</v>
      </c>
      <c r="J190" s="27">
        <f>5720115.42+1711722.69+587336.09+400958.98</f>
        <v>8420133.1799999997</v>
      </c>
      <c r="K190" s="27">
        <f>112+6907200.33+1479302.67+895-3828-153377</f>
        <v>8230305</v>
      </c>
      <c r="L190" s="27">
        <f>8383682-162050</f>
        <v>8221632</v>
      </c>
      <c r="M190" s="125">
        <v>10801652.4</v>
      </c>
      <c r="N190" s="28">
        <v>9478638.3300000001</v>
      </c>
      <c r="O190" s="27">
        <v>9478638.3300000001</v>
      </c>
      <c r="P190" s="27">
        <v>0</v>
      </c>
      <c r="Q190" s="158"/>
      <c r="R190" s="158"/>
      <c r="S190" s="158"/>
      <c r="T190" s="158"/>
      <c r="U190" s="158"/>
      <c r="V190" s="158"/>
      <c r="W190" s="158"/>
      <c r="X190" s="158"/>
      <c r="Y190" s="158"/>
      <c r="Z190" s="158"/>
      <c r="AA190" s="158"/>
      <c r="AB190" s="158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</row>
    <row r="191" spans="1:54" s="22" customFormat="1" ht="246" customHeight="1" x14ac:dyDescent="0.4">
      <c r="A191" s="200"/>
      <c r="B191" s="159"/>
      <c r="C191" s="200"/>
      <c r="D191" s="200"/>
      <c r="E191" s="200"/>
      <c r="F191" s="89" t="s">
        <v>33</v>
      </c>
      <c r="G191" s="27">
        <f>SUM(H191:N191)</f>
        <v>36772468</v>
      </c>
      <c r="H191" s="28">
        <v>2073460</v>
      </c>
      <c r="I191" s="27">
        <v>2602021</v>
      </c>
      <c r="J191" s="27">
        <f>2602021+1356127</f>
        <v>3958148</v>
      </c>
      <c r="K191" s="27">
        <f>2717362+715097+1139079</f>
        <v>4571538</v>
      </c>
      <c r="L191" s="27">
        <f>5388807+242239+67711</f>
        <v>5698757</v>
      </c>
      <c r="M191" s="125">
        <f>4692538+2853854</f>
        <v>7546392</v>
      </c>
      <c r="N191" s="28">
        <v>10322152</v>
      </c>
      <c r="O191" s="27">
        <v>10322152</v>
      </c>
      <c r="P191" s="27" t="s">
        <v>35</v>
      </c>
      <c r="Q191" s="159"/>
      <c r="R191" s="159"/>
      <c r="S191" s="159"/>
      <c r="T191" s="159"/>
      <c r="U191" s="159"/>
      <c r="V191" s="159"/>
      <c r="W191" s="159"/>
      <c r="X191" s="159"/>
      <c r="Y191" s="159"/>
      <c r="Z191" s="159"/>
      <c r="AA191" s="159"/>
      <c r="AB191" s="15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</row>
    <row r="192" spans="1:54" s="22" customFormat="1" ht="147.75" customHeight="1" x14ac:dyDescent="0.4">
      <c r="A192" s="198"/>
      <c r="B192" s="209" t="s">
        <v>36</v>
      </c>
      <c r="C192" s="198"/>
      <c r="D192" s="198"/>
      <c r="E192" s="198"/>
      <c r="F192" s="89" t="s">
        <v>26</v>
      </c>
      <c r="G192" s="27">
        <f t="shared" ref="G192:P192" si="62">G193+G194</f>
        <v>38069</v>
      </c>
      <c r="H192" s="27">
        <f t="shared" si="62"/>
        <v>0</v>
      </c>
      <c r="I192" s="27">
        <f t="shared" si="62"/>
        <v>0</v>
      </c>
      <c r="J192" s="27">
        <f t="shared" si="62"/>
        <v>0</v>
      </c>
      <c r="K192" s="27">
        <f t="shared" si="62"/>
        <v>9515</v>
      </c>
      <c r="L192" s="27">
        <f t="shared" si="62"/>
        <v>9518</v>
      </c>
      <c r="M192" s="125">
        <f t="shared" si="62"/>
        <v>9518</v>
      </c>
      <c r="N192" s="28">
        <f t="shared" si="62"/>
        <v>9518</v>
      </c>
      <c r="O192" s="27">
        <f t="shared" si="62"/>
        <v>9518</v>
      </c>
      <c r="P192" s="27">
        <f t="shared" si="62"/>
        <v>0</v>
      </c>
      <c r="Q192" s="157" t="s">
        <v>37</v>
      </c>
      <c r="R192" s="89"/>
      <c r="S192" s="89"/>
      <c r="T192" s="89"/>
      <c r="U192" s="89"/>
      <c r="V192" s="89"/>
      <c r="W192" s="89"/>
      <c r="X192" s="89"/>
      <c r="Y192" s="89"/>
      <c r="Z192" s="97"/>
      <c r="AA192" s="97"/>
      <c r="AB192" s="97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</row>
    <row r="193" spans="1:54" s="22" customFormat="1" ht="240" customHeight="1" x14ac:dyDescent="0.4">
      <c r="A193" s="199"/>
      <c r="B193" s="209"/>
      <c r="C193" s="199"/>
      <c r="D193" s="199"/>
      <c r="E193" s="199"/>
      <c r="F193" s="89" t="s">
        <v>32</v>
      </c>
      <c r="G193" s="27">
        <f>H193+I193+J193+K193+L193+M193+N193</f>
        <v>764</v>
      </c>
      <c r="H193" s="28">
        <v>0</v>
      </c>
      <c r="I193" s="27">
        <v>0</v>
      </c>
      <c r="J193" s="27">
        <v>0</v>
      </c>
      <c r="K193" s="27">
        <v>191</v>
      </c>
      <c r="L193" s="27">
        <v>191</v>
      </c>
      <c r="M193" s="125">
        <v>191</v>
      </c>
      <c r="N193" s="28">
        <v>191</v>
      </c>
      <c r="O193" s="27">
        <v>191</v>
      </c>
      <c r="P193" s="27">
        <v>0</v>
      </c>
      <c r="Q193" s="158"/>
      <c r="R193" s="89" t="s">
        <v>38</v>
      </c>
      <c r="S193" s="89"/>
      <c r="T193" s="89">
        <v>100</v>
      </c>
      <c r="U193" s="89">
        <v>100</v>
      </c>
      <c r="V193" s="89">
        <v>100</v>
      </c>
      <c r="W193" s="89">
        <v>100</v>
      </c>
      <c r="X193" s="89">
        <v>100</v>
      </c>
      <c r="Y193" s="89">
        <v>100</v>
      </c>
      <c r="Z193" s="97">
        <v>100</v>
      </c>
      <c r="AA193" s="97">
        <v>100</v>
      </c>
      <c r="AB193" s="97">
        <v>100</v>
      </c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</row>
    <row r="194" spans="1:54" s="22" customFormat="1" ht="246" customHeight="1" x14ac:dyDescent="0.4">
      <c r="A194" s="200"/>
      <c r="B194" s="209"/>
      <c r="C194" s="200"/>
      <c r="D194" s="200"/>
      <c r="E194" s="200"/>
      <c r="F194" s="89" t="s">
        <v>33</v>
      </c>
      <c r="G194" s="27">
        <f>SUM(H194:N194)</f>
        <v>37305</v>
      </c>
      <c r="H194" s="28">
        <v>0</v>
      </c>
      <c r="I194" s="27">
        <v>0</v>
      </c>
      <c r="J194" s="27">
        <v>0</v>
      </c>
      <c r="K194" s="27">
        <v>9324</v>
      </c>
      <c r="L194" s="27">
        <v>9327</v>
      </c>
      <c r="M194" s="125">
        <v>9327</v>
      </c>
      <c r="N194" s="28">
        <v>9327</v>
      </c>
      <c r="O194" s="27">
        <v>9327</v>
      </c>
      <c r="P194" s="27" t="s">
        <v>35</v>
      </c>
      <c r="Q194" s="159"/>
      <c r="R194" s="89"/>
      <c r="S194" s="89"/>
      <c r="T194" s="89"/>
      <c r="U194" s="89"/>
      <c r="V194" s="89"/>
      <c r="W194" s="89"/>
      <c r="X194" s="89"/>
      <c r="Y194" s="89"/>
      <c r="Z194" s="97"/>
      <c r="AA194" s="97"/>
      <c r="AB194" s="97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</row>
    <row r="195" spans="1:54" s="22" customFormat="1" ht="130.5" customHeight="1" x14ac:dyDescent="0.4">
      <c r="A195" s="208"/>
      <c r="B195" s="157" t="s">
        <v>114</v>
      </c>
      <c r="C195" s="198"/>
      <c r="D195" s="198"/>
      <c r="E195" s="198"/>
      <c r="F195" s="89" t="s">
        <v>26</v>
      </c>
      <c r="G195" s="27">
        <f t="shared" ref="G195:P195" si="63">G196+G197</f>
        <v>26896</v>
      </c>
      <c r="H195" s="27">
        <f t="shared" si="63"/>
        <v>26896</v>
      </c>
      <c r="I195" s="27">
        <f t="shared" si="63"/>
        <v>0</v>
      </c>
      <c r="J195" s="27">
        <f t="shared" si="63"/>
        <v>0</v>
      </c>
      <c r="K195" s="27">
        <f t="shared" si="63"/>
        <v>0</v>
      </c>
      <c r="L195" s="27">
        <f t="shared" si="63"/>
        <v>0</v>
      </c>
      <c r="M195" s="125">
        <f t="shared" si="63"/>
        <v>0</v>
      </c>
      <c r="N195" s="28">
        <f t="shared" si="63"/>
        <v>0</v>
      </c>
      <c r="O195" s="27">
        <f t="shared" si="63"/>
        <v>0</v>
      </c>
      <c r="P195" s="27">
        <f t="shared" si="63"/>
        <v>0</v>
      </c>
      <c r="Q195" s="157" t="s">
        <v>27</v>
      </c>
      <c r="R195" s="157" t="s">
        <v>28</v>
      </c>
      <c r="S195" s="157" t="s">
        <v>29</v>
      </c>
      <c r="T195" s="157" t="s">
        <v>28</v>
      </c>
      <c r="U195" s="157" t="s">
        <v>30</v>
      </c>
      <c r="V195" s="157" t="s">
        <v>27</v>
      </c>
      <c r="W195" s="157" t="s">
        <v>31</v>
      </c>
      <c r="X195" s="157" t="s">
        <v>28</v>
      </c>
      <c r="Y195" s="157" t="s">
        <v>30</v>
      </c>
      <c r="Z195" s="201" t="s">
        <v>27</v>
      </c>
      <c r="AA195" s="201" t="s">
        <v>27</v>
      </c>
      <c r="AB195" s="201" t="s">
        <v>27</v>
      </c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</row>
    <row r="196" spans="1:54" s="22" customFormat="1" ht="216" customHeight="1" x14ac:dyDescent="0.4">
      <c r="A196" s="208"/>
      <c r="B196" s="158"/>
      <c r="C196" s="199"/>
      <c r="D196" s="199"/>
      <c r="E196" s="199"/>
      <c r="F196" s="89" t="s">
        <v>32</v>
      </c>
      <c r="G196" s="27">
        <f>H196+I196+J196+K196+L196+M196+N196</f>
        <v>26896</v>
      </c>
      <c r="H196" s="28">
        <v>26896</v>
      </c>
      <c r="I196" s="27">
        <v>0</v>
      </c>
      <c r="J196" s="27">
        <v>0</v>
      </c>
      <c r="K196" s="27">
        <v>0</v>
      </c>
      <c r="L196" s="27">
        <v>0</v>
      </c>
      <c r="M196" s="125">
        <v>0</v>
      </c>
      <c r="N196" s="28">
        <v>0</v>
      </c>
      <c r="O196" s="27">
        <v>0</v>
      </c>
      <c r="P196" s="27">
        <v>0</v>
      </c>
      <c r="Q196" s="158"/>
      <c r="R196" s="158"/>
      <c r="S196" s="158"/>
      <c r="T196" s="158"/>
      <c r="U196" s="158"/>
      <c r="V196" s="158"/>
      <c r="W196" s="158"/>
      <c r="X196" s="158"/>
      <c r="Y196" s="158"/>
      <c r="Z196" s="205"/>
      <c r="AA196" s="205"/>
      <c r="AB196" s="205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</row>
    <row r="197" spans="1:54" s="22" customFormat="1" ht="174" customHeight="1" x14ac:dyDescent="0.4">
      <c r="A197" s="208"/>
      <c r="B197" s="159"/>
      <c r="C197" s="200"/>
      <c r="D197" s="200"/>
      <c r="E197" s="200"/>
      <c r="F197" s="89" t="s">
        <v>33</v>
      </c>
      <c r="G197" s="27">
        <f>H197+I197+J197+K197+L197+M197+N197</f>
        <v>0</v>
      </c>
      <c r="H197" s="28" t="s">
        <v>35</v>
      </c>
      <c r="I197" s="27" t="s">
        <v>35</v>
      </c>
      <c r="J197" s="27" t="s">
        <v>35</v>
      </c>
      <c r="K197" s="27" t="s">
        <v>35</v>
      </c>
      <c r="L197" s="27" t="s">
        <v>35</v>
      </c>
      <c r="M197" s="125" t="s">
        <v>35</v>
      </c>
      <c r="N197" s="28" t="s">
        <v>35</v>
      </c>
      <c r="O197" s="27">
        <v>0</v>
      </c>
      <c r="P197" s="27" t="s">
        <v>35</v>
      </c>
      <c r="Q197" s="159"/>
      <c r="R197" s="159"/>
      <c r="S197" s="159"/>
      <c r="T197" s="159"/>
      <c r="U197" s="159"/>
      <c r="V197" s="159"/>
      <c r="W197" s="159"/>
      <c r="X197" s="159"/>
      <c r="Y197" s="159"/>
      <c r="Z197" s="202"/>
      <c r="AA197" s="202"/>
      <c r="AB197" s="202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</row>
    <row r="198" spans="1:54" s="22" customFormat="1" ht="129" customHeight="1" x14ac:dyDescent="0.4">
      <c r="A198" s="208"/>
      <c r="B198" s="157" t="s">
        <v>115</v>
      </c>
      <c r="C198" s="198"/>
      <c r="D198" s="198"/>
      <c r="E198" s="198"/>
      <c r="F198" s="89" t="s">
        <v>26</v>
      </c>
      <c r="G198" s="27">
        <f t="shared" ref="G198:P198" si="64">G199+G200</f>
        <v>0</v>
      </c>
      <c r="H198" s="27">
        <f t="shared" si="64"/>
        <v>0</v>
      </c>
      <c r="I198" s="27">
        <f t="shared" si="64"/>
        <v>0</v>
      </c>
      <c r="J198" s="27">
        <f t="shared" si="64"/>
        <v>0</v>
      </c>
      <c r="K198" s="27">
        <f t="shared" si="64"/>
        <v>0</v>
      </c>
      <c r="L198" s="27">
        <f t="shared" si="64"/>
        <v>0</v>
      </c>
      <c r="M198" s="125">
        <f t="shared" si="64"/>
        <v>0</v>
      </c>
      <c r="N198" s="28">
        <f t="shared" si="64"/>
        <v>0</v>
      </c>
      <c r="O198" s="27">
        <f t="shared" si="64"/>
        <v>0</v>
      </c>
      <c r="P198" s="27">
        <f t="shared" si="64"/>
        <v>0</v>
      </c>
      <c r="Q198" s="157" t="s">
        <v>27</v>
      </c>
      <c r="R198" s="157" t="s">
        <v>28</v>
      </c>
      <c r="S198" s="157" t="s">
        <v>29</v>
      </c>
      <c r="T198" s="157" t="s">
        <v>28</v>
      </c>
      <c r="U198" s="157" t="s">
        <v>30</v>
      </c>
      <c r="V198" s="157" t="s">
        <v>27</v>
      </c>
      <c r="W198" s="157" t="s">
        <v>31</v>
      </c>
      <c r="X198" s="157" t="s">
        <v>28</v>
      </c>
      <c r="Y198" s="157" t="s">
        <v>30</v>
      </c>
      <c r="Z198" s="201" t="s">
        <v>27</v>
      </c>
      <c r="AA198" s="201" t="s">
        <v>27</v>
      </c>
      <c r="AB198" s="201" t="s">
        <v>27</v>
      </c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</row>
    <row r="199" spans="1:54" s="22" customFormat="1" ht="237" customHeight="1" x14ac:dyDescent="0.4">
      <c r="A199" s="208"/>
      <c r="B199" s="158"/>
      <c r="C199" s="199"/>
      <c r="D199" s="199"/>
      <c r="E199" s="199"/>
      <c r="F199" s="89" t="s">
        <v>32</v>
      </c>
      <c r="G199" s="27">
        <f>H199+I199+J199+K199+L199+M199+N199</f>
        <v>0</v>
      </c>
      <c r="H199" s="28">
        <v>0</v>
      </c>
      <c r="I199" s="27">
        <v>0</v>
      </c>
      <c r="J199" s="27">
        <v>0</v>
      </c>
      <c r="K199" s="27">
        <v>0</v>
      </c>
      <c r="L199" s="27">
        <v>0</v>
      </c>
      <c r="M199" s="125">
        <v>0</v>
      </c>
      <c r="N199" s="28">
        <v>0</v>
      </c>
      <c r="O199" s="27">
        <v>0</v>
      </c>
      <c r="P199" s="27">
        <v>0</v>
      </c>
      <c r="Q199" s="158"/>
      <c r="R199" s="158"/>
      <c r="S199" s="158"/>
      <c r="T199" s="158"/>
      <c r="U199" s="158"/>
      <c r="V199" s="158"/>
      <c r="W199" s="158"/>
      <c r="X199" s="158"/>
      <c r="Y199" s="158"/>
      <c r="Z199" s="205"/>
      <c r="AA199" s="205"/>
      <c r="AB199" s="205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</row>
    <row r="200" spans="1:54" s="22" customFormat="1" ht="174" customHeight="1" x14ac:dyDescent="0.4">
      <c r="A200" s="208"/>
      <c r="B200" s="159"/>
      <c r="C200" s="200"/>
      <c r="D200" s="200"/>
      <c r="E200" s="200"/>
      <c r="F200" s="89" t="s">
        <v>33</v>
      </c>
      <c r="G200" s="27">
        <f>H200+I200+J200+K200+L200+M200+N200</f>
        <v>0</v>
      </c>
      <c r="H200" s="28" t="s">
        <v>35</v>
      </c>
      <c r="I200" s="27" t="s">
        <v>35</v>
      </c>
      <c r="J200" s="27" t="s">
        <v>35</v>
      </c>
      <c r="K200" s="27" t="s">
        <v>35</v>
      </c>
      <c r="L200" s="27" t="s">
        <v>35</v>
      </c>
      <c r="M200" s="125" t="s">
        <v>35</v>
      </c>
      <c r="N200" s="28" t="s">
        <v>35</v>
      </c>
      <c r="O200" s="27">
        <v>0</v>
      </c>
      <c r="P200" s="27" t="s">
        <v>35</v>
      </c>
      <c r="Q200" s="159"/>
      <c r="R200" s="159"/>
      <c r="S200" s="159"/>
      <c r="T200" s="159"/>
      <c r="U200" s="159"/>
      <c r="V200" s="159"/>
      <c r="W200" s="159"/>
      <c r="X200" s="159"/>
      <c r="Y200" s="159"/>
      <c r="Z200" s="202"/>
      <c r="AA200" s="202"/>
      <c r="AB200" s="202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</row>
    <row r="201" spans="1:54" s="22" customFormat="1" ht="174" customHeight="1" x14ac:dyDescent="0.4">
      <c r="A201" s="208"/>
      <c r="B201" s="157" t="s">
        <v>116</v>
      </c>
      <c r="C201" s="198"/>
      <c r="D201" s="198"/>
      <c r="E201" s="198"/>
      <c r="F201" s="89" t="s">
        <v>26</v>
      </c>
      <c r="G201" s="27">
        <f t="shared" ref="G201:P201" si="65">G202+G203</f>
        <v>2650562.62</v>
      </c>
      <c r="H201" s="27">
        <f t="shared" si="65"/>
        <v>0</v>
      </c>
      <c r="I201" s="27">
        <f t="shared" si="65"/>
        <v>2650562.62</v>
      </c>
      <c r="J201" s="27">
        <f t="shared" si="65"/>
        <v>0</v>
      </c>
      <c r="K201" s="27">
        <f t="shared" si="65"/>
        <v>0</v>
      </c>
      <c r="L201" s="27">
        <f t="shared" si="65"/>
        <v>0</v>
      </c>
      <c r="M201" s="125">
        <f t="shared" si="65"/>
        <v>0</v>
      </c>
      <c r="N201" s="28">
        <f t="shared" si="65"/>
        <v>0</v>
      </c>
      <c r="O201" s="27">
        <f t="shared" si="65"/>
        <v>0</v>
      </c>
      <c r="P201" s="27">
        <f t="shared" si="65"/>
        <v>0</v>
      </c>
      <c r="Q201" s="157" t="s">
        <v>27</v>
      </c>
      <c r="R201" s="157" t="s">
        <v>28</v>
      </c>
      <c r="S201" s="157" t="s">
        <v>29</v>
      </c>
      <c r="T201" s="157" t="s">
        <v>28</v>
      </c>
      <c r="U201" s="157" t="s">
        <v>30</v>
      </c>
      <c r="V201" s="157" t="s">
        <v>27</v>
      </c>
      <c r="W201" s="157" t="s">
        <v>31</v>
      </c>
      <c r="X201" s="157" t="s">
        <v>28</v>
      </c>
      <c r="Y201" s="157" t="s">
        <v>30</v>
      </c>
      <c r="Z201" s="201" t="s">
        <v>27</v>
      </c>
      <c r="AA201" s="201" t="s">
        <v>27</v>
      </c>
      <c r="AB201" s="201" t="s">
        <v>27</v>
      </c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</row>
    <row r="202" spans="1:54" s="22" customFormat="1" ht="174" customHeight="1" x14ac:dyDescent="0.4">
      <c r="A202" s="208"/>
      <c r="B202" s="158"/>
      <c r="C202" s="199"/>
      <c r="D202" s="199"/>
      <c r="E202" s="199"/>
      <c r="F202" s="89" t="s">
        <v>32</v>
      </c>
      <c r="G202" s="27">
        <f>H202+I202+J202+K202+L202+M202+N202</f>
        <v>53011.25</v>
      </c>
      <c r="H202" s="28">
        <v>0</v>
      </c>
      <c r="I202" s="27">
        <v>53011.25</v>
      </c>
      <c r="J202" s="27">
        <v>0</v>
      </c>
      <c r="K202" s="27">
        <v>0</v>
      </c>
      <c r="L202" s="27">
        <v>0</v>
      </c>
      <c r="M202" s="125">
        <v>0</v>
      </c>
      <c r="N202" s="28">
        <v>0</v>
      </c>
      <c r="O202" s="27">
        <v>0</v>
      </c>
      <c r="P202" s="27">
        <v>0</v>
      </c>
      <c r="Q202" s="158"/>
      <c r="R202" s="158"/>
      <c r="S202" s="158"/>
      <c r="T202" s="158"/>
      <c r="U202" s="158"/>
      <c r="V202" s="158"/>
      <c r="W202" s="158"/>
      <c r="X202" s="158"/>
      <c r="Y202" s="158"/>
      <c r="Z202" s="205"/>
      <c r="AA202" s="205"/>
      <c r="AB202" s="205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</row>
    <row r="203" spans="1:54" s="22" customFormat="1" ht="174" customHeight="1" x14ac:dyDescent="0.4">
      <c r="A203" s="208"/>
      <c r="B203" s="159"/>
      <c r="C203" s="200"/>
      <c r="D203" s="200"/>
      <c r="E203" s="200"/>
      <c r="F203" s="89" t="s">
        <v>33</v>
      </c>
      <c r="G203" s="27">
        <f>H203+I203+J203+K203+L203+M203+N203</f>
        <v>2597551.37</v>
      </c>
      <c r="H203" s="28" t="s">
        <v>35</v>
      </c>
      <c r="I203" s="27">
        <v>2597551.37</v>
      </c>
      <c r="J203" s="27" t="s">
        <v>35</v>
      </c>
      <c r="K203" s="27" t="s">
        <v>35</v>
      </c>
      <c r="L203" s="27" t="s">
        <v>35</v>
      </c>
      <c r="M203" s="125" t="s">
        <v>35</v>
      </c>
      <c r="N203" s="28" t="s">
        <v>35</v>
      </c>
      <c r="O203" s="27">
        <v>0</v>
      </c>
      <c r="P203" s="27" t="s">
        <v>35</v>
      </c>
      <c r="Q203" s="159"/>
      <c r="R203" s="159"/>
      <c r="S203" s="159"/>
      <c r="T203" s="159"/>
      <c r="U203" s="159"/>
      <c r="V203" s="159"/>
      <c r="W203" s="159"/>
      <c r="X203" s="159"/>
      <c r="Y203" s="159"/>
      <c r="Z203" s="202"/>
      <c r="AA203" s="202"/>
      <c r="AB203" s="202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</row>
    <row r="204" spans="1:54" s="22" customFormat="1" ht="174" customHeight="1" x14ac:dyDescent="0.4">
      <c r="A204" s="104"/>
      <c r="B204" s="89" t="s">
        <v>117</v>
      </c>
      <c r="C204" s="24">
        <v>2019</v>
      </c>
      <c r="D204" s="24">
        <v>2027</v>
      </c>
      <c r="E204" s="25"/>
      <c r="F204" s="89" t="s">
        <v>21</v>
      </c>
      <c r="G204" s="27" t="s">
        <v>21</v>
      </c>
      <c r="H204" s="28" t="s">
        <v>21</v>
      </c>
      <c r="I204" s="27" t="s">
        <v>21</v>
      </c>
      <c r="J204" s="27" t="s">
        <v>21</v>
      </c>
      <c r="K204" s="27" t="s">
        <v>21</v>
      </c>
      <c r="L204" s="27" t="s">
        <v>21</v>
      </c>
      <c r="M204" s="125" t="s">
        <v>21</v>
      </c>
      <c r="N204" s="28" t="s">
        <v>21</v>
      </c>
      <c r="O204" s="28" t="s">
        <v>21</v>
      </c>
      <c r="P204" s="27" t="s">
        <v>21</v>
      </c>
      <c r="Q204" s="206" t="s">
        <v>118</v>
      </c>
      <c r="R204" s="60"/>
      <c r="S204" s="100"/>
      <c r="T204" s="61"/>
      <c r="U204" s="62"/>
      <c r="V204" s="62"/>
      <c r="W204" s="62"/>
      <c r="X204" s="62"/>
      <c r="Y204" s="62"/>
      <c r="Z204" s="63"/>
      <c r="AA204" s="63"/>
      <c r="AB204" s="63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</row>
    <row r="205" spans="1:54" s="22" customFormat="1" ht="139.5" customHeight="1" x14ac:dyDescent="0.4">
      <c r="A205" s="198"/>
      <c r="B205" s="154" t="s">
        <v>119</v>
      </c>
      <c r="C205" s="198"/>
      <c r="D205" s="198"/>
      <c r="E205" s="203" t="s">
        <v>40</v>
      </c>
      <c r="F205" s="89" t="s">
        <v>26</v>
      </c>
      <c r="G205" s="27">
        <f t="shared" ref="G205:P205" si="66">G206+G207</f>
        <v>12534030.890000001</v>
      </c>
      <c r="H205" s="27">
        <f t="shared" si="66"/>
        <v>1504494.3399999999</v>
      </c>
      <c r="I205" s="27">
        <f t="shared" si="66"/>
        <v>1555125.03</v>
      </c>
      <c r="J205" s="27">
        <f t="shared" si="66"/>
        <v>1674995.4400000002</v>
      </c>
      <c r="K205" s="27">
        <f t="shared" si="66"/>
        <v>1469320.0699999998</v>
      </c>
      <c r="L205" s="27">
        <f t="shared" si="66"/>
        <v>2307802.7300000004</v>
      </c>
      <c r="M205" s="125">
        <f t="shared" si="66"/>
        <v>2177911.2800000003</v>
      </c>
      <c r="N205" s="28">
        <f t="shared" si="66"/>
        <v>1844382</v>
      </c>
      <c r="O205" s="27">
        <f t="shared" si="66"/>
        <v>2621353.6399999997</v>
      </c>
      <c r="P205" s="27">
        <f t="shared" si="66"/>
        <v>1698302.64</v>
      </c>
      <c r="Q205" s="195"/>
      <c r="R205" s="157" t="s">
        <v>38</v>
      </c>
      <c r="S205" s="157"/>
      <c r="T205" s="157">
        <v>0.1</v>
      </c>
      <c r="U205" s="157">
        <v>0.1</v>
      </c>
      <c r="V205" s="157">
        <v>0.1</v>
      </c>
      <c r="W205" s="157">
        <v>0.1</v>
      </c>
      <c r="X205" s="157">
        <v>0.1</v>
      </c>
      <c r="Y205" s="157">
        <v>0.1</v>
      </c>
      <c r="Z205" s="201">
        <v>0.1</v>
      </c>
      <c r="AA205" s="201">
        <v>0.1</v>
      </c>
      <c r="AB205" s="201">
        <v>0.1</v>
      </c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</row>
    <row r="206" spans="1:54" s="22" customFormat="1" ht="226.5" customHeight="1" x14ac:dyDescent="0.4">
      <c r="A206" s="199"/>
      <c r="B206" s="155"/>
      <c r="C206" s="199"/>
      <c r="D206" s="199"/>
      <c r="E206" s="204"/>
      <c r="F206" s="89" t="s">
        <v>32</v>
      </c>
      <c r="G206" s="27">
        <f>SUM(H206:N206)</f>
        <v>8471299.2800000012</v>
      </c>
      <c r="H206" s="27">
        <f t="shared" ref="H206:L207" si="67">H209+H212+H218+H221</f>
        <v>1214387.8899999999</v>
      </c>
      <c r="I206" s="27">
        <f t="shared" si="67"/>
        <v>1255115.6000000001</v>
      </c>
      <c r="J206" s="27">
        <f t="shared" si="67"/>
        <v>1324217.8900000001</v>
      </c>
      <c r="K206" s="27">
        <f t="shared" si="67"/>
        <v>989582.96999999986</v>
      </c>
      <c r="L206" s="27">
        <f t="shared" si="67"/>
        <v>1616252.1400000001</v>
      </c>
      <c r="M206" s="125">
        <f>M209+M212+M218+M221+M224</f>
        <v>1150576.79</v>
      </c>
      <c r="N206" s="28">
        <f t="shared" ref="N206:P207" si="68">N209+N212+N218+N221</f>
        <v>921166</v>
      </c>
      <c r="O206" s="27">
        <f t="shared" si="68"/>
        <v>1698137.64</v>
      </c>
      <c r="P206" s="27">
        <f t="shared" si="68"/>
        <v>1698302.64</v>
      </c>
      <c r="Q206" s="207"/>
      <c r="R206" s="159"/>
      <c r="S206" s="159"/>
      <c r="T206" s="159"/>
      <c r="U206" s="159"/>
      <c r="V206" s="159"/>
      <c r="W206" s="159"/>
      <c r="X206" s="159"/>
      <c r="Y206" s="159"/>
      <c r="Z206" s="202"/>
      <c r="AA206" s="202"/>
      <c r="AB206" s="202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</row>
    <row r="207" spans="1:54" s="22" customFormat="1" ht="174" customHeight="1" x14ac:dyDescent="0.4">
      <c r="A207" s="200"/>
      <c r="B207" s="156"/>
      <c r="C207" s="200"/>
      <c r="D207" s="200"/>
      <c r="E207" s="52"/>
      <c r="F207" s="89" t="s">
        <v>33</v>
      </c>
      <c r="G207" s="27">
        <f>SUM(H207:N207)</f>
        <v>4062731.6100000003</v>
      </c>
      <c r="H207" s="27">
        <f t="shared" si="67"/>
        <v>290106.45</v>
      </c>
      <c r="I207" s="27">
        <f t="shared" si="67"/>
        <v>300009.43</v>
      </c>
      <c r="J207" s="27">
        <f t="shared" si="67"/>
        <v>350777.55</v>
      </c>
      <c r="K207" s="27">
        <f t="shared" si="67"/>
        <v>479737.1</v>
      </c>
      <c r="L207" s="27">
        <f t="shared" si="67"/>
        <v>691550.59000000008</v>
      </c>
      <c r="M207" s="125">
        <f>M210+M213+M219+M222+M225</f>
        <v>1027334.49</v>
      </c>
      <c r="N207" s="28">
        <f t="shared" si="68"/>
        <v>923216</v>
      </c>
      <c r="O207" s="27">
        <f t="shared" si="68"/>
        <v>923216</v>
      </c>
      <c r="P207" s="27">
        <f t="shared" si="68"/>
        <v>0</v>
      </c>
      <c r="Q207" s="89"/>
      <c r="R207" s="89"/>
      <c r="S207" s="89"/>
      <c r="T207" s="89"/>
      <c r="U207" s="89"/>
      <c r="V207" s="89"/>
      <c r="W207" s="89"/>
      <c r="X207" s="89"/>
      <c r="Y207" s="89"/>
      <c r="Z207" s="97"/>
      <c r="AA207" s="97"/>
      <c r="AB207" s="97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</row>
    <row r="208" spans="1:54" s="55" customFormat="1" ht="109.5" customHeight="1" x14ac:dyDescent="0.4">
      <c r="A208" s="198"/>
      <c r="B208" s="157" t="s">
        <v>120</v>
      </c>
      <c r="C208" s="198"/>
      <c r="D208" s="198"/>
      <c r="E208" s="198"/>
      <c r="F208" s="89" t="s">
        <v>26</v>
      </c>
      <c r="G208" s="27">
        <f t="shared" ref="G208:P208" si="69">G209+G210</f>
        <v>0</v>
      </c>
      <c r="H208" s="27">
        <f t="shared" si="69"/>
        <v>0</v>
      </c>
      <c r="I208" s="27">
        <f t="shared" si="69"/>
        <v>0</v>
      </c>
      <c r="J208" s="27">
        <f t="shared" si="69"/>
        <v>0</v>
      </c>
      <c r="K208" s="27">
        <f t="shared" si="69"/>
        <v>0</v>
      </c>
      <c r="L208" s="27">
        <f t="shared" si="69"/>
        <v>0</v>
      </c>
      <c r="M208" s="125">
        <f t="shared" si="69"/>
        <v>0</v>
      </c>
      <c r="N208" s="28">
        <f t="shared" si="69"/>
        <v>0</v>
      </c>
      <c r="O208" s="27">
        <f t="shared" si="69"/>
        <v>0</v>
      </c>
      <c r="P208" s="27">
        <f t="shared" si="69"/>
        <v>0</v>
      </c>
      <c r="Q208" s="155"/>
      <c r="R208" s="155"/>
      <c r="S208" s="155"/>
      <c r="T208" s="155"/>
      <c r="U208" s="155"/>
      <c r="V208" s="155"/>
      <c r="W208" s="155"/>
      <c r="X208" s="155"/>
      <c r="Y208" s="155"/>
      <c r="Z208" s="197"/>
      <c r="AA208" s="113"/>
      <c r="AB208" s="197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54"/>
      <c r="BB208" s="54"/>
    </row>
    <row r="209" spans="1:54" s="55" customFormat="1" ht="223.5" customHeight="1" x14ac:dyDescent="0.4">
      <c r="A209" s="199"/>
      <c r="B209" s="158"/>
      <c r="C209" s="199"/>
      <c r="D209" s="199"/>
      <c r="E209" s="199"/>
      <c r="F209" s="89" t="s">
        <v>32</v>
      </c>
      <c r="G209" s="27">
        <f>H209+I209+J209+K209+L209+M209+N209</f>
        <v>0</v>
      </c>
      <c r="H209" s="28">
        <v>0</v>
      </c>
      <c r="I209" s="27">
        <v>0</v>
      </c>
      <c r="J209" s="27">
        <v>0</v>
      </c>
      <c r="K209" s="27">
        <v>0</v>
      </c>
      <c r="L209" s="27">
        <v>0</v>
      </c>
      <c r="M209" s="125">
        <v>0</v>
      </c>
      <c r="N209" s="28">
        <v>0</v>
      </c>
      <c r="O209" s="27">
        <v>0</v>
      </c>
      <c r="P209" s="27">
        <v>0</v>
      </c>
      <c r="Q209" s="155"/>
      <c r="R209" s="155"/>
      <c r="S209" s="155"/>
      <c r="T209" s="155"/>
      <c r="U209" s="155"/>
      <c r="V209" s="155"/>
      <c r="W209" s="155"/>
      <c r="X209" s="155"/>
      <c r="Y209" s="155"/>
      <c r="Z209" s="197"/>
      <c r="AA209" s="113"/>
      <c r="AB209" s="197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54"/>
      <c r="BB209" s="54"/>
    </row>
    <row r="210" spans="1:54" s="58" customFormat="1" ht="174" customHeight="1" x14ac:dyDescent="0.4">
      <c r="A210" s="200"/>
      <c r="B210" s="159"/>
      <c r="C210" s="200"/>
      <c r="D210" s="200"/>
      <c r="E210" s="200"/>
      <c r="F210" s="89" t="s">
        <v>33</v>
      </c>
      <c r="G210" s="27">
        <f>SUM(H210:N210)</f>
        <v>0</v>
      </c>
      <c r="H210" s="28">
        <v>0</v>
      </c>
      <c r="I210" s="27">
        <v>0</v>
      </c>
      <c r="J210" s="27">
        <v>0</v>
      </c>
      <c r="K210" s="27" t="s">
        <v>35</v>
      </c>
      <c r="L210" s="27">
        <v>0</v>
      </c>
      <c r="M210" s="125">
        <v>0</v>
      </c>
      <c r="N210" s="28" t="s">
        <v>35</v>
      </c>
      <c r="O210" s="27">
        <v>0</v>
      </c>
      <c r="P210" s="27" t="s">
        <v>35</v>
      </c>
      <c r="Q210" s="53"/>
      <c r="R210" s="53"/>
      <c r="S210" s="53"/>
      <c r="T210" s="53"/>
      <c r="U210" s="53"/>
      <c r="V210" s="53"/>
      <c r="W210" s="53"/>
      <c r="X210" s="53"/>
      <c r="Y210" s="82"/>
      <c r="Z210" s="82"/>
      <c r="AA210" s="53"/>
      <c r="AB210" s="53"/>
      <c r="AC210" s="57"/>
      <c r="AD210" s="57"/>
      <c r="AE210" s="57"/>
      <c r="AF210" s="57"/>
      <c r="AG210" s="57"/>
      <c r="AH210" s="57"/>
      <c r="AI210" s="57"/>
      <c r="AJ210" s="57"/>
      <c r="AK210" s="57"/>
      <c r="AL210" s="57"/>
      <c r="AM210" s="57"/>
      <c r="AN210" s="57"/>
      <c r="AO210" s="57"/>
      <c r="AP210" s="57"/>
      <c r="AQ210" s="57"/>
      <c r="AR210" s="57"/>
      <c r="AS210" s="57"/>
      <c r="AT210" s="57"/>
      <c r="AU210" s="57"/>
      <c r="AV210" s="57"/>
      <c r="AW210" s="57"/>
      <c r="AX210" s="57"/>
      <c r="AY210" s="57"/>
      <c r="AZ210" s="57"/>
      <c r="BA210" s="57"/>
      <c r="BB210" s="57"/>
    </row>
    <row r="211" spans="1:54" s="58" customFormat="1" ht="78.75" x14ac:dyDescent="0.4">
      <c r="A211" s="198"/>
      <c r="B211" s="157" t="s">
        <v>121</v>
      </c>
      <c r="C211" s="198"/>
      <c r="D211" s="198"/>
      <c r="E211" s="198"/>
      <c r="F211" s="89" t="s">
        <v>26</v>
      </c>
      <c r="G211" s="27">
        <f t="shared" ref="G211:P211" si="70">G212+G213</f>
        <v>12418256.91</v>
      </c>
      <c r="H211" s="27">
        <f t="shared" si="70"/>
        <v>1504494.3399999999</v>
      </c>
      <c r="I211" s="27">
        <f t="shared" si="70"/>
        <v>1555125.03</v>
      </c>
      <c r="J211" s="27">
        <f t="shared" si="70"/>
        <v>1674995.4400000002</v>
      </c>
      <c r="K211" s="27">
        <f t="shared" si="70"/>
        <v>1469320.0699999998</v>
      </c>
      <c r="L211" s="27">
        <f t="shared" si="70"/>
        <v>2307802.7300000004</v>
      </c>
      <c r="M211" s="125">
        <f t="shared" si="70"/>
        <v>2062137.3</v>
      </c>
      <c r="N211" s="28">
        <f t="shared" si="70"/>
        <v>1844382</v>
      </c>
      <c r="O211" s="27">
        <f t="shared" si="70"/>
        <v>2621353.6399999997</v>
      </c>
      <c r="P211" s="27">
        <f t="shared" si="70"/>
        <v>1698302.64</v>
      </c>
      <c r="Q211" s="155"/>
      <c r="R211" s="155"/>
      <c r="S211" s="155"/>
      <c r="T211" s="155"/>
      <c r="U211" s="155"/>
      <c r="V211" s="155"/>
      <c r="W211" s="155"/>
      <c r="X211" s="155"/>
      <c r="Y211" s="155"/>
      <c r="Z211" s="197"/>
      <c r="AA211" s="113"/>
      <c r="AB211" s="197"/>
      <c r="AC211" s="57"/>
      <c r="AD211" s="57"/>
      <c r="AE211" s="57"/>
      <c r="AF211" s="57"/>
      <c r="AG211" s="57"/>
      <c r="AH211" s="57"/>
      <c r="AI211" s="57"/>
      <c r="AJ211" s="57"/>
      <c r="AK211" s="57"/>
      <c r="AL211" s="57"/>
      <c r="AM211" s="57"/>
      <c r="AN211" s="57"/>
      <c r="AO211" s="57"/>
      <c r="AP211" s="57"/>
      <c r="AQ211" s="57"/>
      <c r="AR211" s="57"/>
      <c r="AS211" s="57"/>
      <c r="AT211" s="57"/>
      <c r="AU211" s="57"/>
      <c r="AV211" s="57"/>
      <c r="AW211" s="57"/>
      <c r="AX211" s="57"/>
      <c r="AY211" s="57"/>
      <c r="AZ211" s="57"/>
      <c r="BA211" s="57"/>
      <c r="BB211" s="57"/>
    </row>
    <row r="212" spans="1:54" s="58" customFormat="1" ht="229.5" customHeight="1" x14ac:dyDescent="0.4">
      <c r="A212" s="199"/>
      <c r="B212" s="158"/>
      <c r="C212" s="199"/>
      <c r="D212" s="199"/>
      <c r="E212" s="199"/>
      <c r="F212" s="89" t="s">
        <v>32</v>
      </c>
      <c r="G212" s="27">
        <f>H212+I212+J212+K212+L212+M212+N212</f>
        <v>8468983.8000000007</v>
      </c>
      <c r="H212" s="28">
        <v>1214387.8899999999</v>
      </c>
      <c r="I212" s="27">
        <v>1255115.6000000001</v>
      </c>
      <c r="J212" s="27">
        <f>1267169.08-7720.08+38284.31+16754.79+9729.79</f>
        <v>1324217.8900000001</v>
      </c>
      <c r="K212" s="27">
        <f>880472.93+265902.83+37440+3970-184851.53-55825.18-14953.55+4970-2846+57867.47-2564</f>
        <v>989582.96999999986</v>
      </c>
      <c r="L212" s="27">
        <f>684000+3970+206568+38938+45396.21+689369.6-38938+19300-59649.23-898.98+28196.54</f>
        <v>1616252.1400000001</v>
      </c>
      <c r="M212" s="125">
        <f>684000+4148+206568+29217.71+2000000-177595.71+148360+160040-1906476.69</f>
        <v>1148261.31</v>
      </c>
      <c r="N212" s="28">
        <f>894541+26625</f>
        <v>921166</v>
      </c>
      <c r="O212" s="27">
        <v>1698137.64</v>
      </c>
      <c r="P212" s="27">
        <v>1698302.64</v>
      </c>
      <c r="Q212" s="155"/>
      <c r="R212" s="155"/>
      <c r="S212" s="155"/>
      <c r="T212" s="155"/>
      <c r="U212" s="155"/>
      <c r="V212" s="155"/>
      <c r="W212" s="155"/>
      <c r="X212" s="155"/>
      <c r="Y212" s="155"/>
      <c r="Z212" s="197"/>
      <c r="AA212" s="113"/>
      <c r="AB212" s="197"/>
      <c r="AC212" s="57"/>
      <c r="AD212" s="57"/>
      <c r="AE212" s="57"/>
      <c r="AF212" s="57"/>
      <c r="AG212" s="57"/>
      <c r="AH212" s="57"/>
      <c r="AI212" s="57"/>
      <c r="AJ212" s="57"/>
      <c r="AK212" s="57"/>
      <c r="AL212" s="57"/>
      <c r="AM212" s="57"/>
      <c r="AN212" s="57"/>
      <c r="AO212" s="57"/>
      <c r="AP212" s="57"/>
      <c r="AQ212" s="57"/>
      <c r="AR212" s="57"/>
      <c r="AS212" s="57"/>
      <c r="AT212" s="57"/>
      <c r="AU212" s="57"/>
      <c r="AV212" s="57"/>
      <c r="AW212" s="57"/>
      <c r="AX212" s="57"/>
      <c r="AY212" s="57"/>
      <c r="AZ212" s="57"/>
      <c r="BA212" s="57"/>
      <c r="BB212" s="57"/>
    </row>
    <row r="213" spans="1:54" s="58" customFormat="1" ht="174" customHeight="1" x14ac:dyDescent="0.4">
      <c r="A213" s="200"/>
      <c r="B213" s="159"/>
      <c r="C213" s="200"/>
      <c r="D213" s="200"/>
      <c r="E213" s="200"/>
      <c r="F213" s="89" t="s">
        <v>33</v>
      </c>
      <c r="G213" s="27">
        <f>H213+I213+J213+K213+L213+M213+N213</f>
        <v>3949273.1100000003</v>
      </c>
      <c r="H213" s="28">
        <v>290106.45</v>
      </c>
      <c r="I213" s="27">
        <v>300009.43</v>
      </c>
      <c r="J213" s="27">
        <f>333103.68+17673.87</f>
        <v>350777.55</v>
      </c>
      <c r="K213" s="27">
        <f>384537.1+84500+10700</f>
        <v>479737.1</v>
      </c>
      <c r="L213" s="27">
        <f>534158.53+130000+27392.06</f>
        <v>691550.59000000008</v>
      </c>
      <c r="M213" s="125">
        <v>913875.99</v>
      </c>
      <c r="N213" s="28">
        <v>923216</v>
      </c>
      <c r="O213" s="27">
        <v>923216</v>
      </c>
      <c r="P213" s="27" t="s">
        <v>35</v>
      </c>
      <c r="Q213" s="53"/>
      <c r="R213" s="53"/>
      <c r="S213" s="53"/>
      <c r="T213" s="53"/>
      <c r="U213" s="53"/>
      <c r="V213" s="53"/>
      <c r="W213" s="53"/>
      <c r="X213" s="53"/>
      <c r="Y213" s="82"/>
      <c r="Z213" s="82"/>
      <c r="AA213" s="53"/>
      <c r="AB213" s="53"/>
      <c r="AC213" s="57"/>
      <c r="AD213" s="57"/>
      <c r="AE213" s="57"/>
      <c r="AF213" s="57"/>
      <c r="AG213" s="57"/>
      <c r="AH213" s="57"/>
      <c r="AI213" s="57"/>
      <c r="AJ213" s="57"/>
      <c r="AK213" s="57"/>
      <c r="AL213" s="57"/>
      <c r="AM213" s="57"/>
      <c r="AN213" s="57"/>
      <c r="AO213" s="57"/>
      <c r="AP213" s="57"/>
      <c r="AQ213" s="57"/>
      <c r="AR213" s="57"/>
      <c r="AS213" s="57"/>
      <c r="AT213" s="57"/>
      <c r="AU213" s="57"/>
      <c r="AV213" s="57"/>
      <c r="AW213" s="57"/>
      <c r="AX213" s="57"/>
      <c r="AY213" s="57"/>
      <c r="AZ213" s="57"/>
      <c r="BA213" s="57"/>
      <c r="BB213" s="57"/>
    </row>
    <row r="214" spans="1:54" s="58" customFormat="1" ht="174" customHeight="1" x14ac:dyDescent="0.4">
      <c r="A214" s="104"/>
      <c r="B214" s="157" t="s">
        <v>122</v>
      </c>
      <c r="C214" s="198"/>
      <c r="D214" s="198"/>
      <c r="E214" s="198"/>
      <c r="F214" s="89" t="s">
        <v>26</v>
      </c>
      <c r="G214" s="27">
        <f t="shared" ref="G214:P214" si="71">G215+G216</f>
        <v>11353905.400000002</v>
      </c>
      <c r="H214" s="27">
        <f t="shared" si="71"/>
        <v>1442494.3399999999</v>
      </c>
      <c r="I214" s="27">
        <f t="shared" si="71"/>
        <v>1555125.03</v>
      </c>
      <c r="J214" s="27">
        <f t="shared" si="71"/>
        <v>1538201.5499999998</v>
      </c>
      <c r="K214" s="27">
        <f t="shared" si="71"/>
        <v>1433320.0699999998</v>
      </c>
      <c r="L214" s="27">
        <f t="shared" si="71"/>
        <v>1596062.11</v>
      </c>
      <c r="M214" s="125">
        <f t="shared" si="71"/>
        <v>1974918.3</v>
      </c>
      <c r="N214" s="28">
        <f t="shared" si="71"/>
        <v>1813784</v>
      </c>
      <c r="O214" s="27">
        <f t="shared" si="71"/>
        <v>1813784</v>
      </c>
      <c r="P214" s="27">
        <f t="shared" si="71"/>
        <v>0</v>
      </c>
      <c r="Q214" s="157" t="s">
        <v>59</v>
      </c>
      <c r="R214" s="157" t="s">
        <v>38</v>
      </c>
      <c r="S214" s="157"/>
      <c r="T214" s="157">
        <v>78.78</v>
      </c>
      <c r="U214" s="157">
        <v>77.349999999999994</v>
      </c>
      <c r="V214" s="157">
        <v>75.5</v>
      </c>
      <c r="W214" s="157">
        <v>77.56</v>
      </c>
      <c r="X214" s="157">
        <v>78.03</v>
      </c>
      <c r="Y214" s="157">
        <v>80.3</v>
      </c>
      <c r="Z214" s="157">
        <v>73.989999999999995</v>
      </c>
      <c r="AA214" s="157">
        <v>73.989999999999995</v>
      </c>
      <c r="AB214" s="157">
        <v>73.989999999999995</v>
      </c>
      <c r="AC214" s="57"/>
      <c r="AD214" s="57"/>
      <c r="AE214" s="57"/>
      <c r="AF214" s="57"/>
      <c r="AG214" s="57"/>
      <c r="AH214" s="57"/>
      <c r="AI214" s="57"/>
      <c r="AJ214" s="57"/>
      <c r="AK214" s="57"/>
      <c r="AL214" s="57"/>
      <c r="AM214" s="57"/>
      <c r="AN214" s="57"/>
      <c r="AO214" s="57"/>
      <c r="AP214" s="57"/>
      <c r="AQ214" s="57"/>
      <c r="AR214" s="57"/>
      <c r="AS214" s="57"/>
      <c r="AT214" s="57"/>
      <c r="AU214" s="57"/>
      <c r="AV214" s="57"/>
      <c r="AW214" s="57"/>
      <c r="AX214" s="57"/>
      <c r="AY214" s="57"/>
      <c r="AZ214" s="57"/>
      <c r="BA214" s="57"/>
      <c r="BB214" s="57"/>
    </row>
    <row r="215" spans="1:54" s="58" customFormat="1" ht="244.5" customHeight="1" x14ac:dyDescent="0.4">
      <c r="A215" s="104"/>
      <c r="B215" s="158"/>
      <c r="C215" s="199"/>
      <c r="D215" s="199"/>
      <c r="E215" s="199"/>
      <c r="F215" s="89" t="s">
        <v>32</v>
      </c>
      <c r="G215" s="27">
        <f>H215+I215+J215+K215+L215+M215+N215</f>
        <v>7404632.290000001</v>
      </c>
      <c r="H215" s="28">
        <v>1152387.8899999999</v>
      </c>
      <c r="I215" s="27">
        <v>1255115.6000000001</v>
      </c>
      <c r="J215" s="27">
        <f>906715.43+233237.76+55190.89-7720.08</f>
        <v>1187423.9999999998</v>
      </c>
      <c r="K215" s="27">
        <f>695621.4+210077.65-14953.55+4970+57867.47</f>
        <v>953582.97</v>
      </c>
      <c r="L215" s="27">
        <f>890263.64+45700.57-59649.23+28196.54</f>
        <v>904511.52</v>
      </c>
      <c r="M215" s="125">
        <f>1061042.31</f>
        <v>1061042.31</v>
      </c>
      <c r="N215" s="28">
        <v>890568</v>
      </c>
      <c r="O215" s="27">
        <v>890568</v>
      </c>
      <c r="P215" s="27">
        <v>0</v>
      </c>
      <c r="Q215" s="158"/>
      <c r="R215" s="158"/>
      <c r="S215" s="158"/>
      <c r="T215" s="158"/>
      <c r="U215" s="158"/>
      <c r="V215" s="158"/>
      <c r="W215" s="158"/>
      <c r="X215" s="158"/>
      <c r="Y215" s="158"/>
      <c r="Z215" s="158"/>
      <c r="AA215" s="158"/>
      <c r="AB215" s="158"/>
      <c r="AC215" s="57"/>
      <c r="AD215" s="57"/>
      <c r="AE215" s="57"/>
      <c r="AF215" s="57"/>
      <c r="AG215" s="57"/>
      <c r="AH215" s="57"/>
      <c r="AI215" s="57"/>
      <c r="AJ215" s="57"/>
      <c r="AK215" s="57"/>
      <c r="AL215" s="57"/>
      <c r="AM215" s="57"/>
      <c r="AN215" s="57"/>
      <c r="AO215" s="57"/>
      <c r="AP215" s="57"/>
      <c r="AQ215" s="57"/>
      <c r="AR215" s="57"/>
      <c r="AS215" s="57"/>
      <c r="AT215" s="57"/>
      <c r="AU215" s="57"/>
      <c r="AV215" s="57"/>
      <c r="AW215" s="57"/>
      <c r="AX215" s="57"/>
      <c r="AY215" s="57"/>
      <c r="AZ215" s="57"/>
      <c r="BA215" s="57"/>
      <c r="BB215" s="57"/>
    </row>
    <row r="216" spans="1:54" s="58" customFormat="1" ht="174" customHeight="1" x14ac:dyDescent="0.4">
      <c r="A216" s="104"/>
      <c r="B216" s="159"/>
      <c r="C216" s="200"/>
      <c r="D216" s="200"/>
      <c r="E216" s="200"/>
      <c r="F216" s="89" t="s">
        <v>33</v>
      </c>
      <c r="G216" s="27">
        <f>H216+I216+J216+K216+L216+M216+N216</f>
        <v>3949273.1100000003</v>
      </c>
      <c r="H216" s="28">
        <v>290106.45</v>
      </c>
      <c r="I216" s="27">
        <v>300009.43</v>
      </c>
      <c r="J216" s="27">
        <f>333103.68+17673.87</f>
        <v>350777.55</v>
      </c>
      <c r="K216" s="27">
        <f>384537.1+84500+10700</f>
        <v>479737.1</v>
      </c>
      <c r="L216" s="27">
        <f>534158.53+130000+27392.06</f>
        <v>691550.59000000008</v>
      </c>
      <c r="M216" s="125">
        <v>913875.99</v>
      </c>
      <c r="N216" s="28">
        <v>923216</v>
      </c>
      <c r="O216" s="27">
        <v>923216</v>
      </c>
      <c r="P216" s="27" t="s">
        <v>35</v>
      </c>
      <c r="Q216" s="159"/>
      <c r="R216" s="159"/>
      <c r="S216" s="159"/>
      <c r="T216" s="159"/>
      <c r="U216" s="159"/>
      <c r="V216" s="159"/>
      <c r="W216" s="159"/>
      <c r="X216" s="159"/>
      <c r="Y216" s="159"/>
      <c r="Z216" s="159"/>
      <c r="AA216" s="159"/>
      <c r="AB216" s="159"/>
      <c r="AC216" s="57"/>
      <c r="AD216" s="57"/>
      <c r="AE216" s="57"/>
      <c r="AF216" s="57"/>
      <c r="AG216" s="57"/>
      <c r="AH216" s="57"/>
      <c r="AI216" s="57"/>
      <c r="AJ216" s="57"/>
      <c r="AK216" s="57"/>
      <c r="AL216" s="57"/>
      <c r="AM216" s="57"/>
      <c r="AN216" s="57"/>
      <c r="AO216" s="57"/>
      <c r="AP216" s="57"/>
      <c r="AQ216" s="57"/>
      <c r="AR216" s="57"/>
      <c r="AS216" s="57"/>
      <c r="AT216" s="57"/>
      <c r="AU216" s="57"/>
      <c r="AV216" s="57"/>
      <c r="AW216" s="57"/>
      <c r="AX216" s="57"/>
      <c r="AY216" s="57"/>
      <c r="AZ216" s="57"/>
      <c r="BA216" s="57"/>
      <c r="BB216" s="57"/>
    </row>
    <row r="217" spans="1:54" s="58" customFormat="1" ht="141" customHeight="1" x14ac:dyDescent="0.4">
      <c r="A217" s="198"/>
      <c r="B217" s="157" t="s">
        <v>123</v>
      </c>
      <c r="C217" s="198"/>
      <c r="D217" s="198"/>
      <c r="E217" s="198"/>
      <c r="F217" s="89" t="s">
        <v>26</v>
      </c>
      <c r="G217" s="27">
        <f t="shared" ref="G217:P217" si="72">G218+G219</f>
        <v>0</v>
      </c>
      <c r="H217" s="27">
        <f t="shared" si="72"/>
        <v>0</v>
      </c>
      <c r="I217" s="27">
        <f t="shared" si="72"/>
        <v>0</v>
      </c>
      <c r="J217" s="27">
        <f t="shared" si="72"/>
        <v>0</v>
      </c>
      <c r="K217" s="27">
        <f t="shared" si="72"/>
        <v>0</v>
      </c>
      <c r="L217" s="27">
        <f t="shared" si="72"/>
        <v>0</v>
      </c>
      <c r="M217" s="125">
        <f t="shared" si="72"/>
        <v>0</v>
      </c>
      <c r="N217" s="28">
        <f t="shared" si="72"/>
        <v>0</v>
      </c>
      <c r="O217" s="28">
        <f t="shared" si="72"/>
        <v>0</v>
      </c>
      <c r="P217" s="27">
        <f t="shared" si="72"/>
        <v>0</v>
      </c>
      <c r="Q217" s="155"/>
      <c r="R217" s="155"/>
      <c r="S217" s="155"/>
      <c r="T217" s="155"/>
      <c r="U217" s="155"/>
      <c r="V217" s="155"/>
      <c r="W217" s="155"/>
      <c r="X217" s="155"/>
      <c r="Y217" s="155"/>
      <c r="Z217" s="197"/>
      <c r="AA217" s="113"/>
      <c r="AB217" s="197"/>
      <c r="AC217" s="57"/>
      <c r="AD217" s="57"/>
      <c r="AE217" s="57"/>
      <c r="AF217" s="57"/>
      <c r="AG217" s="57"/>
      <c r="AH217" s="57"/>
      <c r="AI217" s="57"/>
      <c r="AJ217" s="57"/>
      <c r="AK217" s="57"/>
      <c r="AL217" s="57"/>
      <c r="AM217" s="57"/>
      <c r="AN217" s="57"/>
      <c r="AO217" s="57"/>
      <c r="AP217" s="57"/>
      <c r="AQ217" s="57"/>
      <c r="AR217" s="57"/>
      <c r="AS217" s="57"/>
      <c r="AT217" s="57"/>
      <c r="AU217" s="57"/>
      <c r="AV217" s="57"/>
      <c r="AW217" s="57"/>
      <c r="AX217" s="57"/>
      <c r="AY217" s="57"/>
      <c r="AZ217" s="57"/>
      <c r="BA217" s="57"/>
      <c r="BB217" s="57"/>
    </row>
    <row r="218" spans="1:54" s="58" customFormat="1" ht="244.5" customHeight="1" x14ac:dyDescent="0.4">
      <c r="A218" s="199"/>
      <c r="B218" s="158"/>
      <c r="C218" s="199"/>
      <c r="D218" s="199"/>
      <c r="E218" s="199"/>
      <c r="F218" s="89" t="s">
        <v>32</v>
      </c>
      <c r="G218" s="27">
        <f>H218+I218+J218+K218+L218+M218+N218</f>
        <v>0</v>
      </c>
      <c r="H218" s="28">
        <v>0</v>
      </c>
      <c r="I218" s="27">
        <v>0</v>
      </c>
      <c r="J218" s="27">
        <v>0</v>
      </c>
      <c r="K218" s="27">
        <v>0</v>
      </c>
      <c r="L218" s="27">
        <v>0</v>
      </c>
      <c r="M218" s="125">
        <v>0</v>
      </c>
      <c r="N218" s="28">
        <v>0</v>
      </c>
      <c r="O218" s="27">
        <v>0</v>
      </c>
      <c r="P218" s="27">
        <v>0</v>
      </c>
      <c r="Q218" s="155"/>
      <c r="R218" s="155"/>
      <c r="S218" s="155"/>
      <c r="T218" s="155"/>
      <c r="U218" s="155"/>
      <c r="V218" s="155"/>
      <c r="W218" s="155"/>
      <c r="X218" s="155"/>
      <c r="Y218" s="155"/>
      <c r="Z218" s="197"/>
      <c r="AA218" s="113"/>
      <c r="AB218" s="197"/>
      <c r="AC218" s="57"/>
      <c r="AD218" s="57"/>
      <c r="AE218" s="57"/>
      <c r="AF218" s="57"/>
      <c r="AG218" s="57"/>
      <c r="AH218" s="57"/>
      <c r="AI218" s="57"/>
      <c r="AJ218" s="57"/>
      <c r="AK218" s="57"/>
      <c r="AL218" s="57"/>
      <c r="AM218" s="57"/>
      <c r="AN218" s="57"/>
      <c r="AO218" s="57"/>
      <c r="AP218" s="57"/>
      <c r="AQ218" s="57"/>
      <c r="AR218" s="57"/>
      <c r="AS218" s="57"/>
      <c r="AT218" s="57"/>
      <c r="AU218" s="57"/>
      <c r="AV218" s="57"/>
      <c r="AW218" s="57"/>
      <c r="AX218" s="57"/>
      <c r="AY218" s="57"/>
      <c r="AZ218" s="57"/>
      <c r="BA218" s="57"/>
      <c r="BB218" s="57"/>
    </row>
    <row r="219" spans="1:54" s="58" customFormat="1" ht="174" customHeight="1" x14ac:dyDescent="0.4">
      <c r="A219" s="200"/>
      <c r="B219" s="159"/>
      <c r="C219" s="200"/>
      <c r="D219" s="200"/>
      <c r="E219" s="200"/>
      <c r="F219" s="89" t="s">
        <v>33</v>
      </c>
      <c r="G219" s="27">
        <f>H219+I219+J219+K219+L219+M219+N219</f>
        <v>0</v>
      </c>
      <c r="H219" s="28">
        <v>0</v>
      </c>
      <c r="I219" s="27">
        <v>0</v>
      </c>
      <c r="J219" s="27">
        <v>0</v>
      </c>
      <c r="K219" s="27" t="s">
        <v>35</v>
      </c>
      <c r="L219" s="27">
        <v>0</v>
      </c>
      <c r="M219" s="125">
        <v>0</v>
      </c>
      <c r="N219" s="28" t="s">
        <v>35</v>
      </c>
      <c r="O219" s="27">
        <v>0</v>
      </c>
      <c r="P219" s="27" t="s">
        <v>35</v>
      </c>
      <c r="Q219" s="53"/>
      <c r="R219" s="53"/>
      <c r="S219" s="53"/>
      <c r="T219" s="53"/>
      <c r="U219" s="53"/>
      <c r="V219" s="53"/>
      <c r="W219" s="53"/>
      <c r="X219" s="53"/>
      <c r="Y219" s="82"/>
      <c r="Z219" s="82"/>
      <c r="AA219" s="53"/>
      <c r="AB219" s="53"/>
      <c r="AC219" s="57"/>
      <c r="AD219" s="57"/>
      <c r="AE219" s="57"/>
      <c r="AF219" s="57"/>
      <c r="AG219" s="57"/>
      <c r="AH219" s="57"/>
      <c r="AI219" s="57"/>
      <c r="AJ219" s="57"/>
      <c r="AK219" s="57"/>
      <c r="AL219" s="57"/>
      <c r="AM219" s="57"/>
      <c r="AN219" s="57"/>
      <c r="AO219" s="57"/>
      <c r="AP219" s="57"/>
      <c r="AQ219" s="57"/>
      <c r="AR219" s="57"/>
      <c r="AS219" s="57"/>
      <c r="AT219" s="57"/>
      <c r="AU219" s="57"/>
      <c r="AV219" s="57"/>
      <c r="AW219" s="57"/>
      <c r="AX219" s="57"/>
      <c r="AY219" s="57"/>
      <c r="AZ219" s="57"/>
      <c r="BA219" s="57"/>
      <c r="BB219" s="57"/>
    </row>
    <row r="220" spans="1:54" s="58" customFormat="1" ht="153" customHeight="1" x14ac:dyDescent="0.4">
      <c r="A220" s="198"/>
      <c r="B220" s="157" t="s">
        <v>124</v>
      </c>
      <c r="C220" s="198"/>
      <c r="D220" s="198"/>
      <c r="E220" s="198"/>
      <c r="F220" s="89" t="s">
        <v>26</v>
      </c>
      <c r="G220" s="27">
        <f t="shared" ref="G220:P220" si="73">G221+G222</f>
        <v>0</v>
      </c>
      <c r="H220" s="27">
        <f t="shared" si="73"/>
        <v>0</v>
      </c>
      <c r="I220" s="27">
        <f t="shared" si="73"/>
        <v>0</v>
      </c>
      <c r="J220" s="27">
        <f t="shared" si="73"/>
        <v>0</v>
      </c>
      <c r="K220" s="27">
        <f t="shared" si="73"/>
        <v>0</v>
      </c>
      <c r="L220" s="27">
        <f t="shared" si="73"/>
        <v>0</v>
      </c>
      <c r="M220" s="125">
        <f t="shared" si="73"/>
        <v>0</v>
      </c>
      <c r="N220" s="28">
        <f t="shared" si="73"/>
        <v>0</v>
      </c>
      <c r="O220" s="28">
        <f t="shared" si="73"/>
        <v>0</v>
      </c>
      <c r="P220" s="27">
        <f t="shared" si="73"/>
        <v>0</v>
      </c>
      <c r="Q220" s="155"/>
      <c r="R220" s="155"/>
      <c r="S220" s="155"/>
      <c r="T220" s="155"/>
      <c r="U220" s="155"/>
      <c r="V220" s="155"/>
      <c r="W220" s="155"/>
      <c r="X220" s="155"/>
      <c r="Y220" s="155"/>
      <c r="Z220" s="197"/>
      <c r="AA220" s="113"/>
      <c r="AB220" s="197"/>
      <c r="AC220" s="57"/>
      <c r="AD220" s="57"/>
      <c r="AE220" s="57"/>
      <c r="AF220" s="57"/>
      <c r="AG220" s="57"/>
      <c r="AH220" s="57"/>
      <c r="AI220" s="57"/>
      <c r="AJ220" s="57"/>
      <c r="AK220" s="57"/>
      <c r="AL220" s="57"/>
      <c r="AM220" s="57"/>
      <c r="AN220" s="57"/>
      <c r="AO220" s="57"/>
      <c r="AP220" s="57"/>
      <c r="AQ220" s="57"/>
      <c r="AR220" s="57"/>
      <c r="AS220" s="57"/>
      <c r="AT220" s="57"/>
      <c r="AU220" s="57"/>
      <c r="AV220" s="57"/>
      <c r="AW220" s="57"/>
      <c r="AX220" s="57"/>
      <c r="AY220" s="57"/>
      <c r="AZ220" s="57"/>
      <c r="BA220" s="57"/>
      <c r="BB220" s="57"/>
    </row>
    <row r="221" spans="1:54" s="58" customFormat="1" ht="237" customHeight="1" x14ac:dyDescent="0.4">
      <c r="A221" s="199"/>
      <c r="B221" s="158"/>
      <c r="C221" s="199"/>
      <c r="D221" s="199"/>
      <c r="E221" s="199"/>
      <c r="F221" s="89" t="s">
        <v>32</v>
      </c>
      <c r="G221" s="27">
        <f>H221+I221+J221+K221+L221+M221+N221</f>
        <v>0</v>
      </c>
      <c r="H221" s="28">
        <v>0</v>
      </c>
      <c r="I221" s="27">
        <v>0</v>
      </c>
      <c r="J221" s="27">
        <v>0</v>
      </c>
      <c r="K221" s="27">
        <v>0</v>
      </c>
      <c r="L221" s="27">
        <v>0</v>
      </c>
      <c r="M221" s="125">
        <v>0</v>
      </c>
      <c r="N221" s="28">
        <v>0</v>
      </c>
      <c r="O221" s="27">
        <v>0</v>
      </c>
      <c r="P221" s="27">
        <v>0</v>
      </c>
      <c r="Q221" s="155"/>
      <c r="R221" s="155"/>
      <c r="S221" s="155"/>
      <c r="T221" s="155"/>
      <c r="U221" s="155"/>
      <c r="V221" s="155"/>
      <c r="W221" s="155"/>
      <c r="X221" s="155"/>
      <c r="Y221" s="155"/>
      <c r="Z221" s="197"/>
      <c r="AA221" s="113"/>
      <c r="AB221" s="197"/>
      <c r="AC221" s="57"/>
      <c r="AD221" s="57"/>
      <c r="AE221" s="57"/>
      <c r="AF221" s="57"/>
      <c r="AG221" s="57"/>
      <c r="AH221" s="57"/>
      <c r="AI221" s="57"/>
      <c r="AJ221" s="57"/>
      <c r="AK221" s="57"/>
      <c r="AL221" s="57"/>
      <c r="AM221" s="57"/>
      <c r="AN221" s="57"/>
      <c r="AO221" s="57"/>
      <c r="AP221" s="57"/>
      <c r="AQ221" s="57"/>
      <c r="AR221" s="57"/>
      <c r="AS221" s="57"/>
      <c r="AT221" s="57"/>
      <c r="AU221" s="57"/>
      <c r="AV221" s="57"/>
      <c r="AW221" s="57"/>
      <c r="AX221" s="57"/>
      <c r="AY221" s="57"/>
      <c r="AZ221" s="57"/>
      <c r="BA221" s="57"/>
      <c r="BB221" s="57"/>
    </row>
    <row r="222" spans="1:54" s="58" customFormat="1" ht="178.5" customHeight="1" x14ac:dyDescent="0.4">
      <c r="A222" s="200"/>
      <c r="B222" s="159"/>
      <c r="C222" s="200"/>
      <c r="D222" s="200"/>
      <c r="E222" s="200"/>
      <c r="F222" s="89" t="s">
        <v>33</v>
      </c>
      <c r="G222" s="27">
        <f>H222+I222+J222+K222+L222+M222+N222</f>
        <v>0</v>
      </c>
      <c r="H222" s="28">
        <v>0</v>
      </c>
      <c r="I222" s="27">
        <v>0</v>
      </c>
      <c r="J222" s="27">
        <v>0</v>
      </c>
      <c r="K222" s="27" t="s">
        <v>35</v>
      </c>
      <c r="L222" s="27">
        <v>0</v>
      </c>
      <c r="M222" s="125">
        <v>0</v>
      </c>
      <c r="N222" s="28" t="s">
        <v>35</v>
      </c>
      <c r="O222" s="27">
        <v>0</v>
      </c>
      <c r="P222" s="27" t="s">
        <v>35</v>
      </c>
      <c r="Q222" s="53"/>
      <c r="R222" s="53"/>
      <c r="S222" s="53"/>
      <c r="T222" s="53"/>
      <c r="U222" s="53"/>
      <c r="V222" s="53"/>
      <c r="W222" s="53"/>
      <c r="X222" s="53"/>
      <c r="Y222" s="82"/>
      <c r="Z222" s="82"/>
      <c r="AA222" s="53"/>
      <c r="AB222" s="53"/>
      <c r="AC222" s="57"/>
      <c r="AD222" s="57"/>
      <c r="AE222" s="57"/>
      <c r="AF222" s="57"/>
      <c r="AG222" s="57"/>
      <c r="AH222" s="57"/>
      <c r="AI222" s="57"/>
      <c r="AJ222" s="57"/>
      <c r="AK222" s="57"/>
      <c r="AL222" s="57"/>
      <c r="AM222" s="57"/>
      <c r="AN222" s="57"/>
      <c r="AO222" s="57"/>
      <c r="AP222" s="57"/>
      <c r="AQ222" s="57"/>
      <c r="AR222" s="57"/>
      <c r="AS222" s="57"/>
      <c r="AT222" s="57"/>
      <c r="AU222" s="57"/>
      <c r="AV222" s="57"/>
      <c r="AW222" s="57"/>
      <c r="AX222" s="57"/>
      <c r="AY222" s="57"/>
      <c r="AZ222" s="57"/>
      <c r="BA222" s="57"/>
      <c r="BB222" s="57"/>
    </row>
    <row r="223" spans="1:54" s="58" customFormat="1" ht="141" customHeight="1" x14ac:dyDescent="0.4">
      <c r="A223" s="198"/>
      <c r="B223" s="157" t="s">
        <v>125</v>
      </c>
      <c r="C223" s="198"/>
      <c r="D223" s="198"/>
      <c r="E223" s="198"/>
      <c r="F223" s="89" t="s">
        <v>26</v>
      </c>
      <c r="G223" s="27">
        <f t="shared" ref="G223:P223" si="74">G224+G225</f>
        <v>115773.98</v>
      </c>
      <c r="H223" s="27">
        <f t="shared" si="74"/>
        <v>0</v>
      </c>
      <c r="I223" s="27">
        <f t="shared" si="74"/>
        <v>0</v>
      </c>
      <c r="J223" s="27">
        <f t="shared" si="74"/>
        <v>0</v>
      </c>
      <c r="K223" s="27">
        <f t="shared" si="74"/>
        <v>0</v>
      </c>
      <c r="L223" s="27">
        <f t="shared" si="74"/>
        <v>0</v>
      </c>
      <c r="M223" s="125">
        <f t="shared" si="74"/>
        <v>115773.98</v>
      </c>
      <c r="N223" s="28">
        <f t="shared" si="74"/>
        <v>0</v>
      </c>
      <c r="O223" s="28">
        <f t="shared" si="74"/>
        <v>0</v>
      </c>
      <c r="P223" s="56">
        <f t="shared" si="74"/>
        <v>0</v>
      </c>
      <c r="Q223" s="190" t="s">
        <v>80</v>
      </c>
      <c r="R223" s="191" t="s">
        <v>50</v>
      </c>
      <c r="S223" s="194"/>
      <c r="T223" s="187" t="s">
        <v>48</v>
      </c>
      <c r="U223" s="187" t="s">
        <v>48</v>
      </c>
      <c r="V223" s="187" t="s">
        <v>48</v>
      </c>
      <c r="W223" s="187" t="s">
        <v>48</v>
      </c>
      <c r="X223" s="187" t="s">
        <v>48</v>
      </c>
      <c r="Y223" s="190">
        <v>1</v>
      </c>
      <c r="Z223" s="187" t="s">
        <v>48</v>
      </c>
      <c r="AA223" s="187" t="s">
        <v>48</v>
      </c>
      <c r="AB223" s="187" t="s">
        <v>48</v>
      </c>
      <c r="AC223" s="57"/>
      <c r="AD223" s="57"/>
      <c r="AE223" s="57"/>
      <c r="AF223" s="57"/>
      <c r="AG223" s="57"/>
      <c r="AH223" s="57"/>
      <c r="AI223" s="57"/>
      <c r="AJ223" s="57"/>
      <c r="AK223" s="57"/>
      <c r="AL223" s="57"/>
      <c r="AM223" s="57"/>
      <c r="AN223" s="57"/>
      <c r="AO223" s="57"/>
      <c r="AP223" s="57"/>
      <c r="AQ223" s="57"/>
      <c r="AR223" s="57"/>
      <c r="AS223" s="57"/>
      <c r="AT223" s="57"/>
      <c r="AU223" s="57"/>
      <c r="AV223" s="57"/>
      <c r="AW223" s="57"/>
      <c r="AX223" s="57"/>
      <c r="AY223" s="57"/>
      <c r="AZ223" s="57"/>
      <c r="BA223" s="57"/>
      <c r="BB223" s="57"/>
    </row>
    <row r="224" spans="1:54" s="58" customFormat="1" ht="244.5" customHeight="1" x14ac:dyDescent="0.4">
      <c r="A224" s="199"/>
      <c r="B224" s="158"/>
      <c r="C224" s="199"/>
      <c r="D224" s="199"/>
      <c r="E224" s="199"/>
      <c r="F224" s="89" t="s">
        <v>32</v>
      </c>
      <c r="G224" s="27">
        <f>H224+I224+J224+K224+L224+M224+N224</f>
        <v>2315.48</v>
      </c>
      <c r="H224" s="28">
        <v>0</v>
      </c>
      <c r="I224" s="27">
        <v>0</v>
      </c>
      <c r="J224" s="27">
        <v>0</v>
      </c>
      <c r="K224" s="27">
        <v>0</v>
      </c>
      <c r="L224" s="27">
        <v>0</v>
      </c>
      <c r="M224" s="125">
        <v>2315.48</v>
      </c>
      <c r="N224" s="28">
        <v>0</v>
      </c>
      <c r="O224" s="56">
        <v>0</v>
      </c>
      <c r="P224" s="56">
        <v>0</v>
      </c>
      <c r="Q224" s="190"/>
      <c r="R224" s="192"/>
      <c r="S224" s="195"/>
      <c r="T224" s="188"/>
      <c r="U224" s="188"/>
      <c r="V224" s="188"/>
      <c r="W224" s="188"/>
      <c r="X224" s="188"/>
      <c r="Y224" s="190"/>
      <c r="Z224" s="188"/>
      <c r="AA224" s="188"/>
      <c r="AB224" s="188"/>
      <c r="AC224" s="57"/>
      <c r="AD224" s="57"/>
      <c r="AE224" s="57"/>
      <c r="AF224" s="57"/>
      <c r="AG224" s="57"/>
      <c r="AH224" s="57"/>
      <c r="AI224" s="57"/>
      <c r="AJ224" s="57"/>
      <c r="AK224" s="57"/>
      <c r="AL224" s="57"/>
      <c r="AM224" s="57"/>
      <c r="AN224" s="57"/>
      <c r="AO224" s="57"/>
      <c r="AP224" s="57"/>
      <c r="AQ224" s="57"/>
      <c r="AR224" s="57"/>
      <c r="AS224" s="57"/>
      <c r="AT224" s="57"/>
      <c r="AU224" s="57"/>
      <c r="AV224" s="57"/>
      <c r="AW224" s="57"/>
      <c r="AX224" s="57"/>
      <c r="AY224" s="57"/>
      <c r="AZ224" s="57"/>
      <c r="BA224" s="57"/>
      <c r="BB224" s="57"/>
    </row>
    <row r="225" spans="1:54" s="58" customFormat="1" ht="174" customHeight="1" x14ac:dyDescent="0.4">
      <c r="A225" s="200"/>
      <c r="B225" s="159"/>
      <c r="C225" s="200"/>
      <c r="D225" s="200"/>
      <c r="E225" s="200"/>
      <c r="F225" s="89" t="s">
        <v>33</v>
      </c>
      <c r="G225" s="27">
        <f>H225+I225+J225+K225+L225+M225+N225</f>
        <v>113458.5</v>
      </c>
      <c r="H225" s="28">
        <v>0</v>
      </c>
      <c r="I225" s="27">
        <v>0</v>
      </c>
      <c r="J225" s="27">
        <v>0</v>
      </c>
      <c r="K225" s="27" t="s">
        <v>35</v>
      </c>
      <c r="L225" s="27">
        <v>0</v>
      </c>
      <c r="M225" s="125">
        <v>113458.5</v>
      </c>
      <c r="N225" s="28" t="s">
        <v>35</v>
      </c>
      <c r="O225" s="56">
        <v>0</v>
      </c>
      <c r="P225" s="56" t="s">
        <v>35</v>
      </c>
      <c r="Q225" s="190"/>
      <c r="R225" s="193"/>
      <c r="S225" s="196"/>
      <c r="T225" s="189"/>
      <c r="U225" s="189"/>
      <c r="V225" s="189"/>
      <c r="W225" s="189"/>
      <c r="X225" s="189"/>
      <c r="Y225" s="190"/>
      <c r="Z225" s="189"/>
      <c r="AA225" s="189"/>
      <c r="AB225" s="189"/>
      <c r="AC225" s="57"/>
      <c r="AD225" s="57"/>
      <c r="AE225" s="57"/>
      <c r="AF225" s="57"/>
      <c r="AG225" s="57"/>
      <c r="AH225" s="57"/>
      <c r="AI225" s="57"/>
      <c r="AJ225" s="57"/>
      <c r="AK225" s="57"/>
      <c r="AL225" s="57"/>
      <c r="AM225" s="57"/>
      <c r="AN225" s="57"/>
      <c r="AO225" s="57"/>
      <c r="AP225" s="57"/>
      <c r="AQ225" s="57"/>
      <c r="AR225" s="57"/>
      <c r="AS225" s="57"/>
      <c r="AT225" s="57"/>
      <c r="AU225" s="57"/>
      <c r="AV225" s="57"/>
      <c r="AW225" s="57"/>
      <c r="AX225" s="57"/>
      <c r="AY225" s="57"/>
      <c r="AZ225" s="57"/>
      <c r="BA225" s="57"/>
      <c r="BB225" s="57"/>
    </row>
    <row r="226" spans="1:54" s="58" customFormat="1" ht="262.5" customHeight="1" x14ac:dyDescent="0.4">
      <c r="A226" s="38"/>
      <c r="B226" s="89" t="s">
        <v>126</v>
      </c>
      <c r="C226" s="24">
        <v>2019</v>
      </c>
      <c r="D226" s="24">
        <v>2027</v>
      </c>
      <c r="E226" s="25"/>
      <c r="F226" s="89" t="s">
        <v>21</v>
      </c>
      <c r="G226" s="27" t="s">
        <v>21</v>
      </c>
      <c r="H226" s="28" t="s">
        <v>21</v>
      </c>
      <c r="I226" s="27" t="s">
        <v>21</v>
      </c>
      <c r="J226" s="27" t="s">
        <v>21</v>
      </c>
      <c r="K226" s="27" t="s">
        <v>21</v>
      </c>
      <c r="L226" s="27" t="s">
        <v>21</v>
      </c>
      <c r="M226" s="125" t="s">
        <v>21</v>
      </c>
      <c r="N226" s="28" t="s">
        <v>21</v>
      </c>
      <c r="O226" s="28" t="s">
        <v>21</v>
      </c>
      <c r="P226" s="27" t="s">
        <v>21</v>
      </c>
      <c r="Q226" s="53"/>
      <c r="R226" s="53"/>
      <c r="S226" s="53"/>
      <c r="T226" s="53"/>
      <c r="U226" s="53"/>
      <c r="V226" s="53"/>
      <c r="W226" s="53"/>
      <c r="X226" s="53"/>
      <c r="Y226" s="82"/>
      <c r="Z226" s="82"/>
      <c r="AA226" s="53"/>
      <c r="AB226" s="53"/>
      <c r="AC226" s="57"/>
      <c r="AD226" s="57"/>
      <c r="AE226" s="57"/>
      <c r="AF226" s="57"/>
      <c r="AG226" s="57"/>
      <c r="AH226" s="57"/>
      <c r="AI226" s="57"/>
      <c r="AJ226" s="57"/>
      <c r="AK226" s="57"/>
      <c r="AL226" s="57"/>
      <c r="AM226" s="57"/>
      <c r="AN226" s="57"/>
      <c r="AO226" s="57"/>
      <c r="AP226" s="57"/>
      <c r="AQ226" s="57"/>
      <c r="AR226" s="57"/>
      <c r="AS226" s="57"/>
      <c r="AT226" s="57"/>
      <c r="AU226" s="57"/>
      <c r="AV226" s="57"/>
      <c r="AW226" s="57"/>
      <c r="AX226" s="57"/>
      <c r="AY226" s="57"/>
      <c r="AZ226" s="57"/>
      <c r="BA226" s="57"/>
      <c r="BB226" s="57"/>
    </row>
    <row r="227" spans="1:54" s="58" customFormat="1" ht="79.5" customHeight="1" x14ac:dyDescent="0.4">
      <c r="A227" s="105"/>
      <c r="B227" s="154" t="s">
        <v>127</v>
      </c>
      <c r="C227" s="104"/>
      <c r="D227" s="104"/>
      <c r="E227" s="104"/>
      <c r="F227" s="89" t="s">
        <v>26</v>
      </c>
      <c r="G227" s="27">
        <f t="shared" ref="G227:P227" si="75">G228+G229</f>
        <v>74462109.700000003</v>
      </c>
      <c r="H227" s="27">
        <f t="shared" si="75"/>
        <v>2040816.33</v>
      </c>
      <c r="I227" s="27">
        <f t="shared" si="75"/>
        <v>15323394.949999999</v>
      </c>
      <c r="J227" s="27">
        <f t="shared" si="75"/>
        <v>9888863.9699999988</v>
      </c>
      <c r="K227" s="27">
        <f t="shared" si="75"/>
        <v>32665888.34</v>
      </c>
      <c r="L227" s="27">
        <f t="shared" si="75"/>
        <v>14543146.109999999</v>
      </c>
      <c r="M227" s="125">
        <f t="shared" si="75"/>
        <v>0</v>
      </c>
      <c r="N227" s="28">
        <f t="shared" si="75"/>
        <v>0</v>
      </c>
      <c r="O227" s="28">
        <f t="shared" si="75"/>
        <v>0</v>
      </c>
      <c r="P227" s="27">
        <f t="shared" si="75"/>
        <v>0</v>
      </c>
      <c r="Q227" s="53"/>
      <c r="R227" s="53"/>
      <c r="S227" s="53"/>
      <c r="T227" s="53"/>
      <c r="U227" s="53"/>
      <c r="V227" s="53"/>
      <c r="W227" s="53"/>
      <c r="X227" s="53"/>
      <c r="Y227" s="82"/>
      <c r="Z227" s="82"/>
      <c r="AA227" s="53"/>
      <c r="AB227" s="53"/>
      <c r="AC227" s="57"/>
      <c r="AD227" s="57"/>
      <c r="AE227" s="57"/>
      <c r="AF227" s="57"/>
      <c r="AG227" s="57"/>
      <c r="AH227" s="57"/>
      <c r="AI227" s="57"/>
      <c r="AJ227" s="57"/>
      <c r="AK227" s="57"/>
      <c r="AL227" s="57"/>
      <c r="AM227" s="57"/>
      <c r="AN227" s="57"/>
      <c r="AO227" s="57"/>
      <c r="AP227" s="57"/>
      <c r="AQ227" s="57"/>
      <c r="AR227" s="57"/>
      <c r="AS227" s="57"/>
      <c r="AT227" s="57"/>
      <c r="AU227" s="57"/>
      <c r="AV227" s="57"/>
      <c r="AW227" s="57"/>
      <c r="AX227" s="57"/>
      <c r="AY227" s="57"/>
      <c r="AZ227" s="57"/>
      <c r="BA227" s="57"/>
      <c r="BB227" s="57"/>
    </row>
    <row r="228" spans="1:54" s="58" customFormat="1" ht="288" customHeight="1" x14ac:dyDescent="0.4">
      <c r="A228" s="105"/>
      <c r="B228" s="155"/>
      <c r="C228" s="104"/>
      <c r="D228" s="104"/>
      <c r="E228" s="104"/>
      <c r="F228" s="89" t="s">
        <v>32</v>
      </c>
      <c r="G228" s="27">
        <f>SUM(H228:N228)</f>
        <v>1489242.2</v>
      </c>
      <c r="H228" s="28">
        <f>H231+H234+H237+H240+H243</f>
        <v>40816.33</v>
      </c>
      <c r="I228" s="28">
        <f>I231+I234+I237+I240+I243</f>
        <v>306467.90000000002</v>
      </c>
      <c r="J228" s="28">
        <f t="shared" ref="J228:P229" si="76">J231+J234+J237+J240+J243+J246</f>
        <v>197777.28</v>
      </c>
      <c r="K228" s="28">
        <f t="shared" si="76"/>
        <v>653317.77</v>
      </c>
      <c r="L228" s="28">
        <f t="shared" si="76"/>
        <v>290862.92</v>
      </c>
      <c r="M228" s="125">
        <f t="shared" si="76"/>
        <v>0</v>
      </c>
      <c r="N228" s="28">
        <f t="shared" si="76"/>
        <v>0</v>
      </c>
      <c r="O228" s="28">
        <f t="shared" si="76"/>
        <v>0</v>
      </c>
      <c r="P228" s="28">
        <f t="shared" si="76"/>
        <v>0</v>
      </c>
      <c r="Q228" s="53"/>
      <c r="R228" s="53"/>
      <c r="S228" s="53"/>
      <c r="T228" s="53"/>
      <c r="U228" s="53"/>
      <c r="V228" s="53"/>
      <c r="W228" s="53"/>
      <c r="X228" s="53"/>
      <c r="Y228" s="82"/>
      <c r="Z228" s="82"/>
      <c r="AA228" s="53"/>
      <c r="AB228" s="53"/>
      <c r="AC228" s="57"/>
      <c r="AD228" s="57"/>
      <c r="AE228" s="57"/>
      <c r="AF228" s="57"/>
      <c r="AG228" s="57"/>
      <c r="AH228" s="57"/>
      <c r="AI228" s="57"/>
      <c r="AJ228" s="57"/>
      <c r="AK228" s="57"/>
      <c r="AL228" s="57"/>
      <c r="AM228" s="57"/>
      <c r="AN228" s="57"/>
      <c r="AO228" s="57"/>
      <c r="AP228" s="57"/>
      <c r="AQ228" s="57"/>
      <c r="AR228" s="57"/>
      <c r="AS228" s="57"/>
      <c r="AT228" s="57"/>
      <c r="AU228" s="57"/>
      <c r="AV228" s="57"/>
      <c r="AW228" s="57"/>
      <c r="AX228" s="57"/>
      <c r="AY228" s="57"/>
      <c r="AZ228" s="57"/>
      <c r="BA228" s="57"/>
      <c r="BB228" s="57"/>
    </row>
    <row r="229" spans="1:54" s="58" customFormat="1" ht="169.5" customHeight="1" x14ac:dyDescent="0.4">
      <c r="A229" s="64"/>
      <c r="B229" s="156"/>
      <c r="C229" s="64"/>
      <c r="D229" s="64"/>
      <c r="E229" s="64"/>
      <c r="F229" s="89" t="s">
        <v>33</v>
      </c>
      <c r="G229" s="27">
        <f>SUM(H229:N229)</f>
        <v>72972867.5</v>
      </c>
      <c r="H229" s="40">
        <f>H232+H235+H238+H241+H244</f>
        <v>2000000</v>
      </c>
      <c r="I229" s="40">
        <f>I232+I235+I238+I241+I244</f>
        <v>15016927.049999999</v>
      </c>
      <c r="J229" s="40">
        <f t="shared" si="76"/>
        <v>9691086.6899999995</v>
      </c>
      <c r="K229" s="40">
        <f t="shared" si="76"/>
        <v>32012570.57</v>
      </c>
      <c r="L229" s="40">
        <f t="shared" si="76"/>
        <v>14252283.189999999</v>
      </c>
      <c r="M229" s="128">
        <f t="shared" si="76"/>
        <v>0</v>
      </c>
      <c r="N229" s="40">
        <f t="shared" si="76"/>
        <v>0</v>
      </c>
      <c r="O229" s="40">
        <f t="shared" si="76"/>
        <v>0</v>
      </c>
      <c r="P229" s="40">
        <f t="shared" si="76"/>
        <v>0</v>
      </c>
      <c r="Q229" s="53"/>
      <c r="R229" s="53"/>
      <c r="S229" s="53"/>
      <c r="T229" s="53"/>
      <c r="U229" s="53"/>
      <c r="V229" s="53"/>
      <c r="W229" s="53"/>
      <c r="X229" s="53"/>
      <c r="Y229" s="82"/>
      <c r="Z229" s="82"/>
      <c r="AA229" s="53"/>
      <c r="AB229" s="53"/>
      <c r="AC229" s="57"/>
      <c r="AD229" s="57"/>
      <c r="AE229" s="57"/>
      <c r="AF229" s="57"/>
      <c r="AG229" s="57"/>
      <c r="AH229" s="57"/>
      <c r="AI229" s="57"/>
      <c r="AJ229" s="57"/>
      <c r="AK229" s="57"/>
      <c r="AL229" s="57"/>
      <c r="AM229" s="57"/>
      <c r="AN229" s="57"/>
      <c r="AO229" s="57"/>
      <c r="AP229" s="57"/>
      <c r="AQ229" s="57"/>
      <c r="AR229" s="57"/>
      <c r="AS229" s="57"/>
      <c r="AT229" s="57"/>
      <c r="AU229" s="57"/>
      <c r="AV229" s="57"/>
      <c r="AW229" s="57"/>
      <c r="AX229" s="57"/>
      <c r="AY229" s="57"/>
      <c r="AZ229" s="57"/>
      <c r="BA229" s="57"/>
      <c r="BB229" s="57"/>
    </row>
    <row r="230" spans="1:54" s="58" customFormat="1" ht="100.5" customHeight="1" x14ac:dyDescent="0.4">
      <c r="A230" s="105"/>
      <c r="B230" s="157" t="s">
        <v>128</v>
      </c>
      <c r="C230" s="104"/>
      <c r="D230" s="104"/>
      <c r="E230" s="104"/>
      <c r="F230" s="89" t="s">
        <v>26</v>
      </c>
      <c r="G230" s="107">
        <f t="shared" ref="G230:P230" si="77">G231+G232</f>
        <v>2040816.33</v>
      </c>
      <c r="H230" s="107">
        <f t="shared" si="77"/>
        <v>2040816.33</v>
      </c>
      <c r="I230" s="107">
        <f t="shared" si="77"/>
        <v>0</v>
      </c>
      <c r="J230" s="107">
        <f t="shared" si="77"/>
        <v>0</v>
      </c>
      <c r="K230" s="107">
        <f t="shared" si="77"/>
        <v>0</v>
      </c>
      <c r="L230" s="107">
        <f t="shared" si="77"/>
        <v>0</v>
      </c>
      <c r="M230" s="132">
        <f t="shared" si="77"/>
        <v>0</v>
      </c>
      <c r="N230" s="138">
        <f t="shared" si="77"/>
        <v>0</v>
      </c>
      <c r="O230" s="138">
        <f t="shared" si="77"/>
        <v>0</v>
      </c>
      <c r="P230" s="107">
        <f t="shared" si="77"/>
        <v>0</v>
      </c>
      <c r="Q230" s="160" t="s">
        <v>129</v>
      </c>
      <c r="R230" s="163" t="s">
        <v>12</v>
      </c>
      <c r="S230" s="173"/>
      <c r="T230" s="148">
        <v>1</v>
      </c>
      <c r="U230" s="148" t="s">
        <v>48</v>
      </c>
      <c r="V230" s="148" t="s">
        <v>48</v>
      </c>
      <c r="W230" s="148" t="s">
        <v>48</v>
      </c>
      <c r="X230" s="148" t="s">
        <v>48</v>
      </c>
      <c r="Y230" s="151" t="s">
        <v>48</v>
      </c>
      <c r="Z230" s="151" t="s">
        <v>48</v>
      </c>
      <c r="AA230" s="148" t="s">
        <v>48</v>
      </c>
      <c r="AB230" s="148" t="s">
        <v>48</v>
      </c>
      <c r="AC230" s="57"/>
      <c r="AD230" s="57"/>
      <c r="AE230" s="57"/>
      <c r="AF230" s="57"/>
      <c r="AG230" s="57"/>
      <c r="AH230" s="57"/>
      <c r="AI230" s="57"/>
      <c r="AJ230" s="57"/>
      <c r="AK230" s="57"/>
      <c r="AL230" s="57"/>
      <c r="AM230" s="57"/>
      <c r="AN230" s="57"/>
      <c r="AO230" s="57"/>
      <c r="AP230" s="57"/>
      <c r="AQ230" s="57"/>
      <c r="AR230" s="57"/>
      <c r="AS230" s="57"/>
      <c r="AT230" s="57"/>
      <c r="AU230" s="57"/>
      <c r="AV230" s="57"/>
      <c r="AW230" s="57"/>
      <c r="AX230" s="57"/>
      <c r="AY230" s="57"/>
      <c r="AZ230" s="57"/>
      <c r="BA230" s="57"/>
      <c r="BB230" s="57"/>
    </row>
    <row r="231" spans="1:54" s="58" customFormat="1" ht="235.5" customHeight="1" x14ac:dyDescent="0.4">
      <c r="A231" s="105"/>
      <c r="B231" s="158"/>
      <c r="C231" s="104"/>
      <c r="D231" s="104"/>
      <c r="E231" s="104"/>
      <c r="F231" s="89" t="s">
        <v>32</v>
      </c>
      <c r="G231" s="27">
        <f>SUM(H231:N231)</f>
        <v>40816.33</v>
      </c>
      <c r="H231" s="28">
        <v>40816.33</v>
      </c>
      <c r="I231" s="27">
        <v>0</v>
      </c>
      <c r="J231" s="27">
        <v>0</v>
      </c>
      <c r="K231" s="27">
        <v>0</v>
      </c>
      <c r="L231" s="27">
        <v>0</v>
      </c>
      <c r="M231" s="125">
        <v>0</v>
      </c>
      <c r="N231" s="28">
        <v>0</v>
      </c>
      <c r="O231" s="27">
        <v>0</v>
      </c>
      <c r="P231" s="27">
        <v>0</v>
      </c>
      <c r="Q231" s="161"/>
      <c r="R231" s="164"/>
      <c r="S231" s="174"/>
      <c r="T231" s="149"/>
      <c r="U231" s="149"/>
      <c r="V231" s="149"/>
      <c r="W231" s="149"/>
      <c r="X231" s="149"/>
      <c r="Y231" s="152"/>
      <c r="Z231" s="152"/>
      <c r="AA231" s="149"/>
      <c r="AB231" s="149"/>
      <c r="AC231" s="57"/>
      <c r="AD231" s="57"/>
      <c r="AE231" s="57"/>
      <c r="AF231" s="57"/>
      <c r="AG231" s="57"/>
      <c r="AH231" s="57"/>
      <c r="AI231" s="57"/>
      <c r="AJ231" s="57"/>
      <c r="AK231" s="57"/>
      <c r="AL231" s="57"/>
      <c r="AM231" s="57"/>
      <c r="AN231" s="57"/>
      <c r="AO231" s="57"/>
      <c r="AP231" s="57"/>
      <c r="AQ231" s="57"/>
      <c r="AR231" s="57"/>
      <c r="AS231" s="57"/>
      <c r="AT231" s="57"/>
      <c r="AU231" s="57"/>
      <c r="AV231" s="57"/>
      <c r="AW231" s="57"/>
      <c r="AX231" s="57"/>
      <c r="AY231" s="57"/>
      <c r="AZ231" s="57"/>
      <c r="BA231" s="57"/>
      <c r="BB231" s="57"/>
    </row>
    <row r="232" spans="1:54" s="58" customFormat="1" ht="159" customHeight="1" x14ac:dyDescent="0.4">
      <c r="A232" s="105"/>
      <c r="B232" s="159"/>
      <c r="C232" s="104"/>
      <c r="D232" s="104"/>
      <c r="E232" s="104"/>
      <c r="F232" s="89" t="s">
        <v>33</v>
      </c>
      <c r="G232" s="27">
        <f>SUM(H232:N232)</f>
        <v>2000000</v>
      </c>
      <c r="H232" s="28">
        <v>2000000</v>
      </c>
      <c r="I232" s="27">
        <v>0</v>
      </c>
      <c r="J232" s="27">
        <v>0</v>
      </c>
      <c r="K232" s="27">
        <v>0</v>
      </c>
      <c r="L232" s="27">
        <v>0</v>
      </c>
      <c r="M232" s="125">
        <v>0</v>
      </c>
      <c r="N232" s="28">
        <v>0</v>
      </c>
      <c r="O232" s="27">
        <v>0</v>
      </c>
      <c r="P232" s="27">
        <v>0</v>
      </c>
      <c r="Q232" s="162"/>
      <c r="R232" s="165"/>
      <c r="S232" s="175"/>
      <c r="T232" s="150"/>
      <c r="U232" s="150"/>
      <c r="V232" s="150"/>
      <c r="W232" s="150"/>
      <c r="X232" s="150"/>
      <c r="Y232" s="153"/>
      <c r="Z232" s="153"/>
      <c r="AA232" s="150"/>
      <c r="AB232" s="150"/>
      <c r="AC232" s="57"/>
      <c r="AD232" s="57"/>
      <c r="AE232" s="57"/>
      <c r="AF232" s="57"/>
      <c r="AG232" s="57"/>
      <c r="AH232" s="57"/>
      <c r="AI232" s="57"/>
      <c r="AJ232" s="57"/>
      <c r="AK232" s="57"/>
      <c r="AL232" s="57"/>
      <c r="AM232" s="57"/>
      <c r="AN232" s="57"/>
      <c r="AO232" s="57"/>
      <c r="AP232" s="57"/>
      <c r="AQ232" s="57"/>
      <c r="AR232" s="57"/>
      <c r="AS232" s="57"/>
      <c r="AT232" s="57"/>
      <c r="AU232" s="57"/>
      <c r="AV232" s="57"/>
      <c r="AW232" s="57"/>
      <c r="AX232" s="57"/>
      <c r="AY232" s="57"/>
      <c r="AZ232" s="57"/>
      <c r="BA232" s="57"/>
      <c r="BB232" s="57"/>
    </row>
    <row r="233" spans="1:54" s="58" customFormat="1" ht="101.25" customHeight="1" x14ac:dyDescent="0.4">
      <c r="A233" s="105"/>
      <c r="B233" s="157" t="s">
        <v>130</v>
      </c>
      <c r="C233" s="104"/>
      <c r="D233" s="104"/>
      <c r="E233" s="104"/>
      <c r="F233" s="89" t="s">
        <v>26</v>
      </c>
      <c r="G233" s="107">
        <f t="shared" ref="G233:P233" si="78">G234+G235</f>
        <v>15326622.15</v>
      </c>
      <c r="H233" s="107">
        <f t="shared" si="78"/>
        <v>0</v>
      </c>
      <c r="I233" s="107">
        <f t="shared" si="78"/>
        <v>7142857.1399999997</v>
      </c>
      <c r="J233" s="107">
        <f t="shared" si="78"/>
        <v>8183765.0099999998</v>
      </c>
      <c r="K233" s="107">
        <f t="shared" si="78"/>
        <v>0</v>
      </c>
      <c r="L233" s="107">
        <f t="shared" si="78"/>
        <v>0</v>
      </c>
      <c r="M233" s="132">
        <f t="shared" si="78"/>
        <v>0</v>
      </c>
      <c r="N233" s="138">
        <f t="shared" si="78"/>
        <v>0</v>
      </c>
      <c r="O233" s="138">
        <f t="shared" si="78"/>
        <v>0</v>
      </c>
      <c r="P233" s="107">
        <f t="shared" si="78"/>
        <v>0</v>
      </c>
      <c r="Q233" s="160" t="s">
        <v>131</v>
      </c>
      <c r="R233" s="163" t="s">
        <v>12</v>
      </c>
      <c r="S233" s="173"/>
      <c r="T233" s="148" t="s">
        <v>48</v>
      </c>
      <c r="U233" s="148" t="s">
        <v>48</v>
      </c>
      <c r="V233" s="148">
        <v>1</v>
      </c>
      <c r="W233" s="148" t="s">
        <v>48</v>
      </c>
      <c r="X233" s="148" t="s">
        <v>48</v>
      </c>
      <c r="Y233" s="151" t="s">
        <v>48</v>
      </c>
      <c r="Z233" s="151" t="s">
        <v>48</v>
      </c>
      <c r="AA233" s="148" t="s">
        <v>48</v>
      </c>
      <c r="AB233" s="148" t="s">
        <v>48</v>
      </c>
      <c r="AC233" s="57"/>
      <c r="AD233" s="57"/>
      <c r="AE233" s="57"/>
      <c r="AF233" s="57"/>
      <c r="AG233" s="57"/>
      <c r="AH233" s="57"/>
      <c r="AI233" s="57"/>
      <c r="AJ233" s="57"/>
      <c r="AK233" s="57"/>
      <c r="AL233" s="57"/>
      <c r="AM233" s="57"/>
      <c r="AN233" s="57"/>
      <c r="AO233" s="57"/>
      <c r="AP233" s="57"/>
      <c r="AQ233" s="57"/>
      <c r="AR233" s="57"/>
      <c r="AS233" s="57"/>
      <c r="AT233" s="57"/>
      <c r="AU233" s="57"/>
      <c r="AV233" s="57"/>
      <c r="AW233" s="57"/>
      <c r="AX233" s="57"/>
      <c r="AY233" s="57"/>
      <c r="AZ233" s="57"/>
      <c r="BA233" s="57"/>
      <c r="BB233" s="57"/>
    </row>
    <row r="234" spans="1:54" s="58" customFormat="1" ht="233.25" customHeight="1" x14ac:dyDescent="0.4">
      <c r="A234" s="105"/>
      <c r="B234" s="158"/>
      <c r="C234" s="104"/>
      <c r="D234" s="104"/>
      <c r="E234" s="104"/>
      <c r="F234" s="89" t="s">
        <v>32</v>
      </c>
      <c r="G234" s="27">
        <f>SUM(H234:N234)</f>
        <v>306532.44</v>
      </c>
      <c r="H234" s="28">
        <v>0</v>
      </c>
      <c r="I234" s="27">
        <v>142857.14000000001</v>
      </c>
      <c r="J234" s="27">
        <v>163675.29999999999</v>
      </c>
      <c r="K234" s="27">
        <v>0</v>
      </c>
      <c r="L234" s="27">
        <v>0</v>
      </c>
      <c r="M234" s="125">
        <v>0</v>
      </c>
      <c r="N234" s="28">
        <v>0</v>
      </c>
      <c r="O234" s="27">
        <v>0</v>
      </c>
      <c r="P234" s="27">
        <v>0</v>
      </c>
      <c r="Q234" s="161"/>
      <c r="R234" s="164"/>
      <c r="S234" s="174"/>
      <c r="T234" s="149"/>
      <c r="U234" s="149"/>
      <c r="V234" s="149"/>
      <c r="W234" s="149"/>
      <c r="X234" s="149"/>
      <c r="Y234" s="152"/>
      <c r="Z234" s="152"/>
      <c r="AA234" s="149"/>
      <c r="AB234" s="149"/>
      <c r="AC234" s="57"/>
      <c r="AD234" s="57"/>
      <c r="AE234" s="57"/>
      <c r="AF234" s="57"/>
      <c r="AG234" s="57"/>
      <c r="AH234" s="57"/>
      <c r="AI234" s="57"/>
      <c r="AJ234" s="57"/>
      <c r="AK234" s="57"/>
      <c r="AL234" s="57"/>
      <c r="AM234" s="57"/>
      <c r="AN234" s="57"/>
      <c r="AO234" s="57"/>
      <c r="AP234" s="57"/>
      <c r="AQ234" s="57"/>
      <c r="AR234" s="57"/>
      <c r="AS234" s="57"/>
      <c r="AT234" s="57"/>
      <c r="AU234" s="57"/>
      <c r="AV234" s="57"/>
      <c r="AW234" s="57"/>
      <c r="AX234" s="57"/>
      <c r="AY234" s="57"/>
      <c r="AZ234" s="57"/>
      <c r="BA234" s="57"/>
      <c r="BB234" s="57"/>
    </row>
    <row r="235" spans="1:54" s="58" customFormat="1" ht="222" customHeight="1" x14ac:dyDescent="0.4">
      <c r="A235" s="105"/>
      <c r="B235" s="172"/>
      <c r="C235" s="64"/>
      <c r="D235" s="64"/>
      <c r="E235" s="64"/>
      <c r="F235" s="89" t="s">
        <v>33</v>
      </c>
      <c r="G235" s="27">
        <f>SUM(H235:N235)</f>
        <v>15020089.710000001</v>
      </c>
      <c r="H235" s="28">
        <v>0</v>
      </c>
      <c r="I235" s="27">
        <v>7000000</v>
      </c>
      <c r="J235" s="27">
        <v>8020089.71</v>
      </c>
      <c r="K235" s="27">
        <v>0</v>
      </c>
      <c r="L235" s="27">
        <v>0</v>
      </c>
      <c r="M235" s="125">
        <v>0</v>
      </c>
      <c r="N235" s="28">
        <v>0</v>
      </c>
      <c r="O235" s="27">
        <v>0</v>
      </c>
      <c r="P235" s="27">
        <v>0</v>
      </c>
      <c r="Q235" s="162"/>
      <c r="R235" s="165"/>
      <c r="S235" s="175"/>
      <c r="T235" s="150"/>
      <c r="U235" s="150"/>
      <c r="V235" s="150"/>
      <c r="W235" s="150"/>
      <c r="X235" s="150"/>
      <c r="Y235" s="153"/>
      <c r="Z235" s="153"/>
      <c r="AA235" s="150"/>
      <c r="AB235" s="150"/>
      <c r="AC235" s="57"/>
      <c r="AD235" s="57"/>
      <c r="AE235" s="57"/>
      <c r="AF235" s="57"/>
      <c r="AG235" s="57"/>
      <c r="AH235" s="57"/>
      <c r="AI235" s="57"/>
      <c r="AJ235" s="57"/>
      <c r="AK235" s="57"/>
      <c r="AL235" s="57"/>
      <c r="AM235" s="57"/>
      <c r="AN235" s="57"/>
      <c r="AO235" s="57"/>
      <c r="AP235" s="57"/>
      <c r="AQ235" s="57"/>
      <c r="AR235" s="57"/>
      <c r="AS235" s="57"/>
      <c r="AT235" s="57"/>
      <c r="AU235" s="57"/>
      <c r="AV235" s="57"/>
      <c r="AW235" s="57"/>
      <c r="AX235" s="57"/>
      <c r="AY235" s="57"/>
      <c r="AZ235" s="57"/>
      <c r="BA235" s="57"/>
      <c r="BB235" s="57"/>
    </row>
    <row r="236" spans="1:54" s="58" customFormat="1" ht="174" customHeight="1" x14ac:dyDescent="0.4">
      <c r="A236" s="105"/>
      <c r="B236" s="157" t="s">
        <v>132</v>
      </c>
      <c r="C236" s="104"/>
      <c r="D236" s="104"/>
      <c r="E236" s="104"/>
      <c r="F236" s="89" t="s">
        <v>26</v>
      </c>
      <c r="G236" s="27">
        <f t="shared" ref="G236:P236" si="79">G237+G238</f>
        <v>5056839.3499999996</v>
      </c>
      <c r="H236" s="27">
        <f t="shared" si="79"/>
        <v>0</v>
      </c>
      <c r="I236" s="27">
        <f t="shared" si="79"/>
        <v>5056839.3499999996</v>
      </c>
      <c r="J236" s="27">
        <f t="shared" si="79"/>
        <v>0</v>
      </c>
      <c r="K236" s="27">
        <f t="shared" si="79"/>
        <v>0</v>
      </c>
      <c r="L236" s="27">
        <f t="shared" si="79"/>
        <v>0</v>
      </c>
      <c r="M236" s="125">
        <f t="shared" si="79"/>
        <v>0</v>
      </c>
      <c r="N236" s="28">
        <f t="shared" si="79"/>
        <v>0</v>
      </c>
      <c r="O236" s="28">
        <f t="shared" si="79"/>
        <v>0</v>
      </c>
      <c r="P236" s="27">
        <f t="shared" si="79"/>
        <v>0</v>
      </c>
      <c r="Q236" s="178" t="s">
        <v>133</v>
      </c>
      <c r="R236" s="163" t="s">
        <v>12</v>
      </c>
      <c r="S236" s="173"/>
      <c r="T236" s="148" t="s">
        <v>48</v>
      </c>
      <c r="U236" s="148">
        <v>1</v>
      </c>
      <c r="V236" s="148" t="s">
        <v>48</v>
      </c>
      <c r="W236" s="148" t="s">
        <v>48</v>
      </c>
      <c r="X236" s="148" t="s">
        <v>48</v>
      </c>
      <c r="Y236" s="151" t="s">
        <v>48</v>
      </c>
      <c r="Z236" s="151" t="s">
        <v>48</v>
      </c>
      <c r="AA236" s="148" t="s">
        <v>48</v>
      </c>
      <c r="AB236" s="148" t="s">
        <v>48</v>
      </c>
      <c r="AC236" s="57"/>
      <c r="AD236" s="57"/>
      <c r="AE236" s="57"/>
      <c r="AF236" s="57"/>
      <c r="AG236" s="57"/>
      <c r="AH236" s="57"/>
      <c r="AI236" s="57"/>
      <c r="AJ236" s="57"/>
      <c r="AK236" s="57"/>
      <c r="AL236" s="57"/>
      <c r="AM236" s="57"/>
      <c r="AN236" s="57"/>
      <c r="AO236" s="57"/>
      <c r="AP236" s="57"/>
      <c r="AQ236" s="57"/>
      <c r="AR236" s="57"/>
      <c r="AS236" s="57"/>
      <c r="AT236" s="57"/>
      <c r="AU236" s="57"/>
      <c r="AV236" s="57"/>
      <c r="AW236" s="57"/>
      <c r="AX236" s="57"/>
      <c r="AY236" s="57"/>
      <c r="AZ236" s="57"/>
      <c r="BA236" s="57"/>
      <c r="BB236" s="57"/>
    </row>
    <row r="237" spans="1:54" s="58" customFormat="1" ht="273" customHeight="1" x14ac:dyDescent="0.4">
      <c r="A237" s="105"/>
      <c r="B237" s="158"/>
      <c r="C237" s="104"/>
      <c r="D237" s="104"/>
      <c r="E237" s="104"/>
      <c r="F237" s="89" t="s">
        <v>32</v>
      </c>
      <c r="G237" s="27">
        <f>SUM(H237:N237)</f>
        <v>101136.79</v>
      </c>
      <c r="H237" s="28">
        <v>0</v>
      </c>
      <c r="I237" s="28">
        <v>101136.79</v>
      </c>
      <c r="J237" s="28">
        <v>0</v>
      </c>
      <c r="K237" s="28">
        <v>0</v>
      </c>
      <c r="L237" s="28">
        <v>0</v>
      </c>
      <c r="M237" s="125">
        <v>0</v>
      </c>
      <c r="N237" s="28">
        <v>0</v>
      </c>
      <c r="O237" s="28">
        <v>0</v>
      </c>
      <c r="P237" s="28">
        <v>0</v>
      </c>
      <c r="Q237" s="179"/>
      <c r="R237" s="164"/>
      <c r="S237" s="174"/>
      <c r="T237" s="149"/>
      <c r="U237" s="149"/>
      <c r="V237" s="149"/>
      <c r="W237" s="149"/>
      <c r="X237" s="149"/>
      <c r="Y237" s="152"/>
      <c r="Z237" s="152"/>
      <c r="AA237" s="149"/>
      <c r="AB237" s="149"/>
      <c r="AC237" s="57"/>
      <c r="AD237" s="57"/>
      <c r="AE237" s="57"/>
      <c r="AF237" s="57"/>
      <c r="AG237" s="57"/>
      <c r="AH237" s="57"/>
      <c r="AI237" s="57"/>
      <c r="AJ237" s="57"/>
      <c r="AK237" s="57"/>
      <c r="AL237" s="57"/>
      <c r="AM237" s="57"/>
      <c r="AN237" s="57"/>
      <c r="AO237" s="57"/>
      <c r="AP237" s="57"/>
      <c r="AQ237" s="57"/>
      <c r="AR237" s="57"/>
      <c r="AS237" s="57"/>
      <c r="AT237" s="57"/>
      <c r="AU237" s="57"/>
      <c r="AV237" s="57"/>
      <c r="AW237" s="57"/>
      <c r="AX237" s="57"/>
      <c r="AY237" s="57"/>
      <c r="AZ237" s="57"/>
      <c r="BA237" s="57"/>
      <c r="BB237" s="57"/>
    </row>
    <row r="238" spans="1:54" s="58" customFormat="1" ht="163.5" customHeight="1" x14ac:dyDescent="0.4">
      <c r="A238" s="105"/>
      <c r="B238" s="172"/>
      <c r="C238" s="104"/>
      <c r="D238" s="104"/>
      <c r="E238" s="104"/>
      <c r="F238" s="89" t="s">
        <v>33</v>
      </c>
      <c r="G238" s="27">
        <f>SUM(H238:N238)</f>
        <v>4955702.5599999996</v>
      </c>
      <c r="H238" s="28">
        <v>0</v>
      </c>
      <c r="I238" s="28">
        <f>99114.05+4856588.51</f>
        <v>4955702.5599999996</v>
      </c>
      <c r="J238" s="28">
        <v>0</v>
      </c>
      <c r="K238" s="28">
        <v>0</v>
      </c>
      <c r="L238" s="28">
        <v>0</v>
      </c>
      <c r="M238" s="125">
        <v>0</v>
      </c>
      <c r="N238" s="28">
        <v>0</v>
      </c>
      <c r="O238" s="28">
        <v>0</v>
      </c>
      <c r="P238" s="28">
        <v>0</v>
      </c>
      <c r="Q238" s="180"/>
      <c r="R238" s="165"/>
      <c r="S238" s="175"/>
      <c r="T238" s="150"/>
      <c r="U238" s="150"/>
      <c r="V238" s="150"/>
      <c r="W238" s="150"/>
      <c r="X238" s="150"/>
      <c r="Y238" s="153"/>
      <c r="Z238" s="153"/>
      <c r="AA238" s="150"/>
      <c r="AB238" s="150"/>
      <c r="AC238" s="57"/>
      <c r="AD238" s="57"/>
      <c r="AE238" s="57"/>
      <c r="AF238" s="57"/>
      <c r="AG238" s="57"/>
      <c r="AH238" s="57"/>
      <c r="AI238" s="57"/>
      <c r="AJ238" s="57"/>
      <c r="AK238" s="57"/>
      <c r="AL238" s="57"/>
      <c r="AM238" s="57"/>
      <c r="AN238" s="57"/>
      <c r="AO238" s="57"/>
      <c r="AP238" s="57"/>
      <c r="AQ238" s="57"/>
      <c r="AR238" s="57"/>
      <c r="AS238" s="57"/>
      <c r="AT238" s="57"/>
      <c r="AU238" s="57"/>
      <c r="AV238" s="57"/>
      <c r="AW238" s="57"/>
      <c r="AX238" s="57"/>
      <c r="AY238" s="57"/>
      <c r="AZ238" s="57"/>
      <c r="BA238" s="57"/>
      <c r="BB238" s="57"/>
    </row>
    <row r="239" spans="1:54" s="58" customFormat="1" ht="106.5" customHeight="1" x14ac:dyDescent="0.4">
      <c r="A239" s="105"/>
      <c r="B239" s="177" t="s">
        <v>134</v>
      </c>
      <c r="C239" s="104"/>
      <c r="D239" s="104"/>
      <c r="E239" s="104"/>
      <c r="F239" s="89" t="s">
        <v>26</v>
      </c>
      <c r="G239" s="27">
        <f t="shared" ref="G239:P239" si="80">G240+G241</f>
        <v>3123698.4600000004</v>
      </c>
      <c r="H239" s="27">
        <f t="shared" si="80"/>
        <v>0</v>
      </c>
      <c r="I239" s="27">
        <f t="shared" si="80"/>
        <v>3123698.4600000004</v>
      </c>
      <c r="J239" s="27">
        <f t="shared" si="80"/>
        <v>0</v>
      </c>
      <c r="K239" s="27">
        <f t="shared" si="80"/>
        <v>0</v>
      </c>
      <c r="L239" s="27">
        <f t="shared" si="80"/>
        <v>0</v>
      </c>
      <c r="M239" s="125">
        <f t="shared" si="80"/>
        <v>0</v>
      </c>
      <c r="N239" s="28">
        <f t="shared" si="80"/>
        <v>0</v>
      </c>
      <c r="O239" s="28">
        <f t="shared" si="80"/>
        <v>0</v>
      </c>
      <c r="P239" s="27">
        <f t="shared" si="80"/>
        <v>0</v>
      </c>
      <c r="Q239" s="178" t="s">
        <v>135</v>
      </c>
      <c r="R239" s="163" t="s">
        <v>12</v>
      </c>
      <c r="S239" s="181"/>
      <c r="T239" s="148" t="s">
        <v>48</v>
      </c>
      <c r="U239" s="148">
        <v>1</v>
      </c>
      <c r="V239" s="148" t="s">
        <v>48</v>
      </c>
      <c r="W239" s="148" t="s">
        <v>48</v>
      </c>
      <c r="X239" s="148" t="s">
        <v>48</v>
      </c>
      <c r="Y239" s="151" t="s">
        <v>48</v>
      </c>
      <c r="Z239" s="151" t="s">
        <v>48</v>
      </c>
      <c r="AA239" s="148" t="s">
        <v>48</v>
      </c>
      <c r="AB239" s="148" t="s">
        <v>48</v>
      </c>
      <c r="AC239" s="57"/>
      <c r="AD239" s="57"/>
      <c r="AE239" s="57"/>
      <c r="AF239" s="57"/>
      <c r="AG239" s="57"/>
      <c r="AH239" s="57"/>
      <c r="AI239" s="57"/>
      <c r="AJ239" s="57"/>
      <c r="AK239" s="57"/>
      <c r="AL239" s="57"/>
      <c r="AM239" s="57"/>
      <c r="AN239" s="57"/>
      <c r="AO239" s="57"/>
      <c r="AP239" s="57"/>
      <c r="AQ239" s="57"/>
      <c r="AR239" s="57"/>
      <c r="AS239" s="57"/>
      <c r="AT239" s="57"/>
      <c r="AU239" s="57"/>
      <c r="AV239" s="57"/>
      <c r="AW239" s="57"/>
      <c r="AX239" s="57"/>
      <c r="AY239" s="57"/>
      <c r="AZ239" s="57"/>
      <c r="BA239" s="57"/>
      <c r="BB239" s="57"/>
    </row>
    <row r="240" spans="1:54" s="58" customFormat="1" ht="229.5" customHeight="1" x14ac:dyDescent="0.4">
      <c r="A240" s="105"/>
      <c r="B240" s="158"/>
      <c r="C240" s="104"/>
      <c r="D240" s="104"/>
      <c r="E240" s="104"/>
      <c r="F240" s="89" t="s">
        <v>32</v>
      </c>
      <c r="G240" s="27">
        <f>SUM(H240:N240)</f>
        <v>62473.97</v>
      </c>
      <c r="H240" s="28">
        <v>0</v>
      </c>
      <c r="I240" s="28">
        <v>62473.97</v>
      </c>
      <c r="J240" s="28">
        <v>0</v>
      </c>
      <c r="K240" s="28">
        <v>0</v>
      </c>
      <c r="L240" s="28">
        <v>0</v>
      </c>
      <c r="M240" s="125">
        <v>0</v>
      </c>
      <c r="N240" s="28">
        <v>0</v>
      </c>
      <c r="O240" s="28">
        <v>0</v>
      </c>
      <c r="P240" s="28">
        <v>0</v>
      </c>
      <c r="Q240" s="179"/>
      <c r="R240" s="164"/>
      <c r="S240" s="182"/>
      <c r="T240" s="149"/>
      <c r="U240" s="149"/>
      <c r="V240" s="149"/>
      <c r="W240" s="149"/>
      <c r="X240" s="149"/>
      <c r="Y240" s="152"/>
      <c r="Z240" s="152"/>
      <c r="AA240" s="149"/>
      <c r="AB240" s="149"/>
      <c r="AC240" s="57"/>
      <c r="AD240" s="57"/>
      <c r="AE240" s="57"/>
      <c r="AF240" s="57"/>
      <c r="AG240" s="57"/>
      <c r="AH240" s="57"/>
      <c r="AI240" s="57"/>
      <c r="AJ240" s="57"/>
      <c r="AK240" s="57"/>
      <c r="AL240" s="57"/>
      <c r="AM240" s="57"/>
      <c r="AN240" s="57"/>
      <c r="AO240" s="57"/>
      <c r="AP240" s="57"/>
      <c r="AQ240" s="57"/>
      <c r="AR240" s="57"/>
      <c r="AS240" s="57"/>
      <c r="AT240" s="57"/>
      <c r="AU240" s="57"/>
      <c r="AV240" s="57"/>
      <c r="AW240" s="57"/>
      <c r="AX240" s="57"/>
      <c r="AY240" s="57"/>
      <c r="AZ240" s="57"/>
      <c r="BA240" s="57"/>
      <c r="BB240" s="57"/>
    </row>
    <row r="241" spans="1:54" s="58" customFormat="1" ht="174" customHeight="1" x14ac:dyDescent="0.4">
      <c r="A241" s="105"/>
      <c r="B241" s="159"/>
      <c r="C241" s="104"/>
      <c r="D241" s="104"/>
      <c r="E241" s="104"/>
      <c r="F241" s="89" t="s">
        <v>33</v>
      </c>
      <c r="G241" s="27">
        <f>SUM(H241:N241)</f>
        <v>3061224.49</v>
      </c>
      <c r="H241" s="28">
        <v>0</v>
      </c>
      <c r="I241" s="28">
        <v>3061224.49</v>
      </c>
      <c r="J241" s="28">
        <v>0</v>
      </c>
      <c r="K241" s="28">
        <v>0</v>
      </c>
      <c r="L241" s="28">
        <v>0</v>
      </c>
      <c r="M241" s="125">
        <v>0</v>
      </c>
      <c r="N241" s="28">
        <v>0</v>
      </c>
      <c r="O241" s="28">
        <v>0</v>
      </c>
      <c r="P241" s="28">
        <v>0</v>
      </c>
      <c r="Q241" s="180"/>
      <c r="R241" s="165"/>
      <c r="S241" s="183"/>
      <c r="T241" s="150"/>
      <c r="U241" s="150"/>
      <c r="V241" s="150"/>
      <c r="W241" s="150"/>
      <c r="X241" s="150"/>
      <c r="Y241" s="153"/>
      <c r="Z241" s="153"/>
      <c r="AA241" s="150"/>
      <c r="AB241" s="150"/>
      <c r="AC241" s="57"/>
      <c r="AD241" s="57"/>
      <c r="AE241" s="57"/>
      <c r="AF241" s="57"/>
      <c r="AG241" s="57"/>
      <c r="AH241" s="57"/>
      <c r="AI241" s="57"/>
      <c r="AJ241" s="57"/>
      <c r="AK241" s="57"/>
      <c r="AL241" s="57"/>
      <c r="AM241" s="57"/>
      <c r="AN241" s="57"/>
      <c r="AO241" s="57"/>
      <c r="AP241" s="57"/>
      <c r="AQ241" s="57"/>
      <c r="AR241" s="57"/>
      <c r="AS241" s="57"/>
      <c r="AT241" s="57"/>
      <c r="AU241" s="57"/>
      <c r="AV241" s="57"/>
      <c r="AW241" s="57"/>
      <c r="AX241" s="57"/>
      <c r="AY241" s="57"/>
      <c r="AZ241" s="57"/>
      <c r="BA241" s="57"/>
      <c r="BB241" s="57"/>
    </row>
    <row r="242" spans="1:54" s="58" customFormat="1" ht="135" customHeight="1" x14ac:dyDescent="0.4">
      <c r="A242" s="105"/>
      <c r="B242" s="157" t="s">
        <v>136</v>
      </c>
      <c r="C242" s="104"/>
      <c r="D242" s="104"/>
      <c r="E242" s="104"/>
      <c r="F242" s="89" t="s">
        <v>26</v>
      </c>
      <c r="G242" s="27">
        <f t="shared" ref="G242:P242" si="81">G243+G244</f>
        <v>1705098.96</v>
      </c>
      <c r="H242" s="27">
        <f t="shared" si="81"/>
        <v>0</v>
      </c>
      <c r="I242" s="27">
        <f t="shared" si="81"/>
        <v>0</v>
      </c>
      <c r="J242" s="27">
        <f t="shared" si="81"/>
        <v>1705098.96</v>
      </c>
      <c r="K242" s="27">
        <f t="shared" si="81"/>
        <v>0</v>
      </c>
      <c r="L242" s="27">
        <f t="shared" si="81"/>
        <v>0</v>
      </c>
      <c r="M242" s="125">
        <f t="shared" si="81"/>
        <v>0</v>
      </c>
      <c r="N242" s="28">
        <f t="shared" si="81"/>
        <v>0</v>
      </c>
      <c r="O242" s="28">
        <f t="shared" si="81"/>
        <v>0</v>
      </c>
      <c r="P242" s="27">
        <f t="shared" si="81"/>
        <v>0</v>
      </c>
      <c r="Q242" s="160" t="s">
        <v>137</v>
      </c>
      <c r="R242" s="163" t="s">
        <v>12</v>
      </c>
      <c r="S242" s="173"/>
      <c r="T242" s="148" t="s">
        <v>48</v>
      </c>
      <c r="U242" s="148" t="s">
        <v>48</v>
      </c>
      <c r="V242" s="148">
        <v>1</v>
      </c>
      <c r="W242" s="148" t="s">
        <v>48</v>
      </c>
      <c r="X242" s="148" t="s">
        <v>48</v>
      </c>
      <c r="Y242" s="151" t="s">
        <v>48</v>
      </c>
      <c r="Z242" s="151" t="s">
        <v>48</v>
      </c>
      <c r="AA242" s="148" t="s">
        <v>48</v>
      </c>
      <c r="AB242" s="148" t="s">
        <v>48</v>
      </c>
      <c r="AC242" s="57"/>
      <c r="AD242" s="57"/>
      <c r="AE242" s="57"/>
      <c r="AF242" s="57"/>
      <c r="AG242" s="57"/>
      <c r="AH242" s="57"/>
      <c r="AI242" s="57"/>
      <c r="AJ242" s="57"/>
      <c r="AK242" s="57"/>
      <c r="AL242" s="57"/>
      <c r="AM242" s="57"/>
      <c r="AN242" s="57"/>
      <c r="AO242" s="57"/>
      <c r="AP242" s="57"/>
      <c r="AQ242" s="57"/>
      <c r="AR242" s="57"/>
      <c r="AS242" s="57"/>
      <c r="AT242" s="57"/>
      <c r="AU242" s="57"/>
      <c r="AV242" s="57"/>
      <c r="AW242" s="57"/>
      <c r="AX242" s="57"/>
      <c r="AY242" s="57"/>
      <c r="AZ242" s="57"/>
      <c r="BA242" s="57"/>
      <c r="BB242" s="57"/>
    </row>
    <row r="243" spans="1:54" s="58" customFormat="1" ht="215.25" customHeight="1" x14ac:dyDescent="0.4">
      <c r="A243" s="105"/>
      <c r="B243" s="158"/>
      <c r="C243" s="104"/>
      <c r="D243" s="104"/>
      <c r="E243" s="104"/>
      <c r="F243" s="89" t="s">
        <v>32</v>
      </c>
      <c r="G243" s="27">
        <f>SUM(H243:N243)</f>
        <v>34101.980000000003</v>
      </c>
      <c r="H243" s="28">
        <v>0</v>
      </c>
      <c r="I243" s="28">
        <v>0</v>
      </c>
      <c r="J243" s="28">
        <v>34101.980000000003</v>
      </c>
      <c r="K243" s="28">
        <v>0</v>
      </c>
      <c r="L243" s="28">
        <v>0</v>
      </c>
      <c r="M243" s="125">
        <v>0</v>
      </c>
      <c r="N243" s="28">
        <v>0</v>
      </c>
      <c r="O243" s="28">
        <v>0</v>
      </c>
      <c r="P243" s="28">
        <v>0</v>
      </c>
      <c r="Q243" s="161"/>
      <c r="R243" s="164"/>
      <c r="S243" s="174"/>
      <c r="T243" s="149"/>
      <c r="U243" s="149"/>
      <c r="V243" s="149"/>
      <c r="W243" s="149"/>
      <c r="X243" s="149"/>
      <c r="Y243" s="152"/>
      <c r="Z243" s="152"/>
      <c r="AA243" s="149"/>
      <c r="AB243" s="149"/>
      <c r="AC243" s="57"/>
      <c r="AD243" s="57"/>
      <c r="AE243" s="57"/>
      <c r="AF243" s="57"/>
      <c r="AG243" s="57"/>
      <c r="AH243" s="57"/>
      <c r="AI243" s="57"/>
      <c r="AJ243" s="57"/>
      <c r="AK243" s="57"/>
      <c r="AL243" s="57"/>
      <c r="AM243" s="57"/>
      <c r="AN243" s="57"/>
      <c r="AO243" s="57"/>
      <c r="AP243" s="57"/>
      <c r="AQ243" s="57"/>
      <c r="AR243" s="57"/>
      <c r="AS243" s="57"/>
      <c r="AT243" s="57"/>
      <c r="AU243" s="57"/>
      <c r="AV243" s="57"/>
      <c r="AW243" s="57"/>
      <c r="AX243" s="57"/>
      <c r="AY243" s="57"/>
      <c r="AZ243" s="57"/>
      <c r="BA243" s="57"/>
      <c r="BB243" s="57"/>
    </row>
    <row r="244" spans="1:54" s="58" customFormat="1" ht="174" customHeight="1" x14ac:dyDescent="0.4">
      <c r="A244" s="105"/>
      <c r="B244" s="172"/>
      <c r="C244" s="104"/>
      <c r="D244" s="104"/>
      <c r="E244" s="104"/>
      <c r="F244" s="89" t="s">
        <v>33</v>
      </c>
      <c r="G244" s="27">
        <f>SUM(H244:N244)</f>
        <v>1670996.98</v>
      </c>
      <c r="H244" s="28">
        <v>0</v>
      </c>
      <c r="I244" s="28">
        <v>0</v>
      </c>
      <c r="J244" s="28">
        <v>1670996.98</v>
      </c>
      <c r="K244" s="28">
        <v>0</v>
      </c>
      <c r="L244" s="28">
        <v>0</v>
      </c>
      <c r="M244" s="125">
        <v>0</v>
      </c>
      <c r="N244" s="28">
        <v>0</v>
      </c>
      <c r="O244" s="28">
        <v>0</v>
      </c>
      <c r="P244" s="28">
        <v>0</v>
      </c>
      <c r="Q244" s="162"/>
      <c r="R244" s="165"/>
      <c r="S244" s="175"/>
      <c r="T244" s="150"/>
      <c r="U244" s="150"/>
      <c r="V244" s="150"/>
      <c r="W244" s="150"/>
      <c r="X244" s="150"/>
      <c r="Y244" s="153"/>
      <c r="Z244" s="153"/>
      <c r="AA244" s="150"/>
      <c r="AB244" s="150"/>
      <c r="AC244" s="57"/>
      <c r="AD244" s="57"/>
      <c r="AE244" s="57"/>
      <c r="AF244" s="57"/>
      <c r="AG244" s="57"/>
      <c r="AH244" s="57"/>
      <c r="AI244" s="57"/>
      <c r="AJ244" s="57"/>
      <c r="AK244" s="57"/>
      <c r="AL244" s="57"/>
      <c r="AM244" s="57"/>
      <c r="AN244" s="57"/>
      <c r="AO244" s="57"/>
      <c r="AP244" s="57"/>
      <c r="AQ244" s="57"/>
      <c r="AR244" s="57"/>
      <c r="AS244" s="57"/>
      <c r="AT244" s="57"/>
      <c r="AU244" s="57"/>
      <c r="AV244" s="57"/>
      <c r="AW244" s="57"/>
      <c r="AX244" s="57"/>
      <c r="AY244" s="57"/>
      <c r="AZ244" s="57"/>
      <c r="BA244" s="57"/>
      <c r="BB244" s="57"/>
    </row>
    <row r="245" spans="1:54" s="58" customFormat="1" ht="114" customHeight="1" x14ac:dyDescent="0.4">
      <c r="A245" s="105"/>
      <c r="B245" s="157" t="s">
        <v>138</v>
      </c>
      <c r="C245" s="104"/>
      <c r="D245" s="104"/>
      <c r="E245" s="104"/>
      <c r="F245" s="89" t="s">
        <v>26</v>
      </c>
      <c r="G245" s="27">
        <f t="shared" ref="G245:P245" si="82">G246+G247</f>
        <v>47209034.449999996</v>
      </c>
      <c r="H245" s="27">
        <f t="shared" si="82"/>
        <v>0</v>
      </c>
      <c r="I245" s="27">
        <f t="shared" si="82"/>
        <v>0</v>
      </c>
      <c r="J245" s="27">
        <f t="shared" si="82"/>
        <v>0</v>
      </c>
      <c r="K245" s="27">
        <f t="shared" si="82"/>
        <v>32665888.34</v>
      </c>
      <c r="L245" s="27">
        <f t="shared" si="82"/>
        <v>14543146.109999999</v>
      </c>
      <c r="M245" s="125">
        <f t="shared" si="82"/>
        <v>0</v>
      </c>
      <c r="N245" s="28">
        <f t="shared" si="82"/>
        <v>0</v>
      </c>
      <c r="O245" s="28">
        <f t="shared" si="82"/>
        <v>0</v>
      </c>
      <c r="P245" s="27">
        <f t="shared" si="82"/>
        <v>0</v>
      </c>
      <c r="Q245" s="160" t="s">
        <v>131</v>
      </c>
      <c r="R245" s="163" t="s">
        <v>12</v>
      </c>
      <c r="S245" s="173"/>
      <c r="T245" s="148" t="s">
        <v>48</v>
      </c>
      <c r="U245" s="148" t="s">
        <v>48</v>
      </c>
      <c r="V245" s="148" t="s">
        <v>48</v>
      </c>
      <c r="W245" s="148">
        <v>1</v>
      </c>
      <c r="X245" s="148">
        <v>1</v>
      </c>
      <c r="Y245" s="151" t="s">
        <v>48</v>
      </c>
      <c r="Z245" s="151" t="s">
        <v>48</v>
      </c>
      <c r="AA245" s="148" t="s">
        <v>48</v>
      </c>
      <c r="AB245" s="148" t="s">
        <v>48</v>
      </c>
      <c r="AC245" s="57"/>
      <c r="AD245" s="57"/>
      <c r="AE245" s="57"/>
      <c r="AF245" s="57"/>
      <c r="AG245" s="57"/>
      <c r="AH245" s="57"/>
      <c r="AI245" s="57"/>
      <c r="AJ245" s="57"/>
      <c r="AK245" s="57"/>
      <c r="AL245" s="57"/>
      <c r="AM245" s="57"/>
      <c r="AN245" s="57"/>
      <c r="AO245" s="57"/>
      <c r="AP245" s="57"/>
      <c r="AQ245" s="57"/>
      <c r="AR245" s="57"/>
      <c r="AS245" s="57"/>
      <c r="AT245" s="57"/>
      <c r="AU245" s="57"/>
      <c r="AV245" s="57"/>
      <c r="AW245" s="57"/>
      <c r="AX245" s="57"/>
      <c r="AY245" s="57"/>
      <c r="AZ245" s="57"/>
      <c r="BA245" s="57"/>
      <c r="BB245" s="57"/>
    </row>
    <row r="246" spans="1:54" s="58" customFormat="1" ht="205.5" customHeight="1" x14ac:dyDescent="0.4">
      <c r="A246" s="105"/>
      <c r="B246" s="158"/>
      <c r="C246" s="104"/>
      <c r="D246" s="104"/>
      <c r="E246" s="104"/>
      <c r="F246" s="89" t="s">
        <v>32</v>
      </c>
      <c r="G246" s="27">
        <f>SUM(H246:N246)</f>
        <v>944180.69</v>
      </c>
      <c r="H246" s="28">
        <v>0</v>
      </c>
      <c r="I246" s="28">
        <v>0</v>
      </c>
      <c r="J246" s="28">
        <v>0</v>
      </c>
      <c r="K246" s="28">
        <v>653317.77</v>
      </c>
      <c r="L246" s="28">
        <v>290862.92</v>
      </c>
      <c r="M246" s="125">
        <v>0</v>
      </c>
      <c r="N246" s="28">
        <v>0</v>
      </c>
      <c r="O246" s="28">
        <v>0</v>
      </c>
      <c r="P246" s="28">
        <v>0</v>
      </c>
      <c r="Q246" s="161"/>
      <c r="R246" s="164"/>
      <c r="S246" s="174"/>
      <c r="T246" s="149"/>
      <c r="U246" s="149"/>
      <c r="V246" s="149"/>
      <c r="W246" s="149"/>
      <c r="X246" s="149"/>
      <c r="Y246" s="152"/>
      <c r="Z246" s="152"/>
      <c r="AA246" s="149"/>
      <c r="AB246" s="149"/>
      <c r="AC246" s="57"/>
      <c r="AD246" s="57"/>
      <c r="AE246" s="57"/>
      <c r="AF246" s="57"/>
      <c r="AG246" s="57"/>
      <c r="AH246" s="57"/>
      <c r="AI246" s="57"/>
      <c r="AJ246" s="57"/>
      <c r="AK246" s="57"/>
      <c r="AL246" s="57"/>
      <c r="AM246" s="57"/>
      <c r="AN246" s="57"/>
      <c r="AO246" s="57"/>
      <c r="AP246" s="57"/>
      <c r="AQ246" s="57"/>
      <c r="AR246" s="57"/>
      <c r="AS246" s="57"/>
      <c r="AT246" s="57"/>
      <c r="AU246" s="57"/>
      <c r="AV246" s="57"/>
      <c r="AW246" s="57"/>
      <c r="AX246" s="57"/>
      <c r="AY246" s="57"/>
      <c r="AZ246" s="57"/>
      <c r="BA246" s="57"/>
      <c r="BB246" s="57"/>
    </row>
    <row r="247" spans="1:54" s="58" customFormat="1" ht="174" customHeight="1" x14ac:dyDescent="0.4">
      <c r="A247" s="105"/>
      <c r="B247" s="172"/>
      <c r="C247" s="104"/>
      <c r="D247" s="104"/>
      <c r="E247" s="104"/>
      <c r="F247" s="89" t="s">
        <v>33</v>
      </c>
      <c r="G247" s="27">
        <f>SUM(H247:N247)</f>
        <v>46264853.759999998</v>
      </c>
      <c r="H247" s="28">
        <v>0</v>
      </c>
      <c r="I247" s="28">
        <v>0</v>
      </c>
      <c r="J247" s="28">
        <v>0</v>
      </c>
      <c r="K247" s="28">
        <f>3521382.76+28491187.81</f>
        <v>32012570.57</v>
      </c>
      <c r="L247" s="28">
        <v>14252283.189999999</v>
      </c>
      <c r="M247" s="125">
        <v>0</v>
      </c>
      <c r="N247" s="28">
        <v>0</v>
      </c>
      <c r="O247" s="28">
        <v>0</v>
      </c>
      <c r="P247" s="28">
        <v>0</v>
      </c>
      <c r="Q247" s="162"/>
      <c r="R247" s="165"/>
      <c r="S247" s="175"/>
      <c r="T247" s="150"/>
      <c r="U247" s="150"/>
      <c r="V247" s="150"/>
      <c r="W247" s="150"/>
      <c r="X247" s="150"/>
      <c r="Y247" s="153"/>
      <c r="Z247" s="153"/>
      <c r="AA247" s="150"/>
      <c r="AB247" s="150"/>
      <c r="AC247" s="57"/>
      <c r="AD247" s="57"/>
      <c r="AE247" s="57"/>
      <c r="AF247" s="57"/>
      <c r="AG247" s="57"/>
      <c r="AH247" s="57"/>
      <c r="AI247" s="57"/>
      <c r="AJ247" s="57"/>
      <c r="AK247" s="57"/>
      <c r="AL247" s="57"/>
      <c r="AM247" s="57"/>
      <c r="AN247" s="57"/>
      <c r="AO247" s="57"/>
      <c r="AP247" s="57"/>
      <c r="AQ247" s="57"/>
      <c r="AR247" s="57"/>
      <c r="AS247" s="57"/>
      <c r="AT247" s="57"/>
      <c r="AU247" s="57"/>
      <c r="AV247" s="57"/>
      <c r="AW247" s="57"/>
      <c r="AX247" s="57"/>
      <c r="AY247" s="57"/>
      <c r="AZ247" s="57"/>
      <c r="BA247" s="57"/>
      <c r="BB247" s="57"/>
    </row>
    <row r="248" spans="1:54" s="58" customFormat="1" ht="94.5" customHeight="1" x14ac:dyDescent="0.4">
      <c r="A248" s="105"/>
      <c r="B248" s="154" t="s">
        <v>139</v>
      </c>
      <c r="C248" s="104"/>
      <c r="D248" s="104"/>
      <c r="E248" s="104"/>
      <c r="F248" s="89" t="s">
        <v>26</v>
      </c>
      <c r="G248" s="27">
        <f t="shared" ref="G248:P248" si="83">G249+G250</f>
        <v>260306.96000000002</v>
      </c>
      <c r="H248" s="27">
        <f t="shared" si="83"/>
        <v>0</v>
      </c>
      <c r="I248" s="27">
        <f t="shared" si="83"/>
        <v>0</v>
      </c>
      <c r="J248" s="27">
        <f t="shared" si="83"/>
        <v>0</v>
      </c>
      <c r="K248" s="27">
        <f t="shared" si="83"/>
        <v>156183.67000000001</v>
      </c>
      <c r="L248" s="27">
        <f t="shared" si="83"/>
        <v>104123.29000000001</v>
      </c>
      <c r="M248" s="125">
        <f t="shared" si="83"/>
        <v>0</v>
      </c>
      <c r="N248" s="146">
        <f t="shared" si="83"/>
        <v>0</v>
      </c>
      <c r="O248" s="146">
        <f t="shared" si="83"/>
        <v>0</v>
      </c>
      <c r="P248" s="56">
        <f t="shared" si="83"/>
        <v>0</v>
      </c>
      <c r="Q248" s="53"/>
      <c r="R248" s="53"/>
      <c r="S248" s="53"/>
      <c r="T248" s="53"/>
      <c r="U248" s="53"/>
      <c r="V248" s="53"/>
      <c r="W248" s="53"/>
      <c r="X248" s="53"/>
      <c r="Y248" s="82"/>
      <c r="Z248" s="82"/>
      <c r="AA248" s="53"/>
      <c r="AB248" s="53"/>
      <c r="AC248" s="57"/>
      <c r="AD248" s="57"/>
      <c r="AE248" s="57"/>
      <c r="AF248" s="57"/>
      <c r="AG248" s="57"/>
      <c r="AH248" s="57"/>
      <c r="AI248" s="57"/>
      <c r="AJ248" s="57"/>
      <c r="AK248" s="57"/>
      <c r="AL248" s="57"/>
      <c r="AM248" s="57"/>
      <c r="AN248" s="57"/>
      <c r="AO248" s="57"/>
      <c r="AP248" s="57"/>
      <c r="AQ248" s="57"/>
      <c r="AR248" s="57"/>
      <c r="AS248" s="57"/>
      <c r="AT248" s="57"/>
      <c r="AU248" s="57"/>
      <c r="AV248" s="57"/>
      <c r="AW248" s="57"/>
      <c r="AX248" s="57"/>
      <c r="AY248" s="57"/>
      <c r="AZ248" s="57"/>
      <c r="BA248" s="57"/>
      <c r="BB248" s="57"/>
    </row>
    <row r="249" spans="1:54" s="58" customFormat="1" ht="245.25" customHeight="1" x14ac:dyDescent="0.4">
      <c r="A249" s="105"/>
      <c r="B249" s="155"/>
      <c r="C249" s="104"/>
      <c r="D249" s="104"/>
      <c r="E249" s="104"/>
      <c r="F249" s="89" t="s">
        <v>32</v>
      </c>
      <c r="G249" s="27">
        <f>SUM(H249:N249)</f>
        <v>5206.1399999999994</v>
      </c>
      <c r="H249" s="28">
        <f t="shared" ref="H249:P250" si="84">H252</f>
        <v>0</v>
      </c>
      <c r="I249" s="28">
        <f t="shared" si="84"/>
        <v>0</v>
      </c>
      <c r="J249" s="28">
        <f t="shared" si="84"/>
        <v>0</v>
      </c>
      <c r="K249" s="28">
        <f t="shared" si="84"/>
        <v>3123.67</v>
      </c>
      <c r="L249" s="28">
        <f t="shared" si="84"/>
        <v>2082.4699999999998</v>
      </c>
      <c r="M249" s="125">
        <f t="shared" si="84"/>
        <v>0</v>
      </c>
      <c r="N249" s="28">
        <f t="shared" si="84"/>
        <v>0</v>
      </c>
      <c r="O249" s="28">
        <f t="shared" si="84"/>
        <v>0</v>
      </c>
      <c r="P249" s="28">
        <f t="shared" si="84"/>
        <v>0</v>
      </c>
      <c r="Q249" s="53"/>
      <c r="R249" s="53"/>
      <c r="S249" s="53"/>
      <c r="T249" s="53"/>
      <c r="U249" s="53"/>
      <c r="V249" s="53"/>
      <c r="W249" s="53"/>
      <c r="X249" s="53"/>
      <c r="Y249" s="82"/>
      <c r="Z249" s="82"/>
      <c r="AA249" s="53"/>
      <c r="AB249" s="53"/>
      <c r="AC249" s="57"/>
      <c r="AD249" s="57"/>
      <c r="AE249" s="57"/>
      <c r="AF249" s="57"/>
      <c r="AG249" s="57"/>
      <c r="AH249" s="57"/>
      <c r="AI249" s="57"/>
      <c r="AJ249" s="57"/>
      <c r="AK249" s="57"/>
      <c r="AL249" s="57"/>
      <c r="AM249" s="57"/>
      <c r="AN249" s="57"/>
      <c r="AO249" s="57"/>
      <c r="AP249" s="57"/>
      <c r="AQ249" s="57"/>
      <c r="AR249" s="57"/>
      <c r="AS249" s="57"/>
      <c r="AT249" s="57"/>
      <c r="AU249" s="57"/>
      <c r="AV249" s="57"/>
      <c r="AW249" s="57"/>
      <c r="AX249" s="57"/>
      <c r="AY249" s="57"/>
      <c r="AZ249" s="57"/>
      <c r="BA249" s="57"/>
      <c r="BB249" s="57"/>
    </row>
    <row r="250" spans="1:54" s="58" customFormat="1" ht="165" customHeight="1" x14ac:dyDescent="0.4">
      <c r="A250" s="64"/>
      <c r="B250" s="156"/>
      <c r="C250" s="64"/>
      <c r="D250" s="64"/>
      <c r="E250" s="64"/>
      <c r="F250" s="89" t="s">
        <v>33</v>
      </c>
      <c r="G250" s="27">
        <f>SUM(H250:N250)</f>
        <v>255100.82</v>
      </c>
      <c r="H250" s="28">
        <f t="shared" si="84"/>
        <v>0</v>
      </c>
      <c r="I250" s="28">
        <f t="shared" si="84"/>
        <v>0</v>
      </c>
      <c r="J250" s="28">
        <f t="shared" si="84"/>
        <v>0</v>
      </c>
      <c r="K250" s="28">
        <f t="shared" si="84"/>
        <v>153060</v>
      </c>
      <c r="L250" s="28">
        <f t="shared" si="84"/>
        <v>102040.82</v>
      </c>
      <c r="M250" s="125">
        <f t="shared" si="84"/>
        <v>0</v>
      </c>
      <c r="N250" s="28">
        <f t="shared" si="84"/>
        <v>0</v>
      </c>
      <c r="O250" s="28">
        <f t="shared" si="84"/>
        <v>0</v>
      </c>
      <c r="P250" s="28">
        <f t="shared" si="84"/>
        <v>0</v>
      </c>
      <c r="Q250" s="65"/>
      <c r="R250" s="53"/>
      <c r="S250" s="53"/>
      <c r="T250" s="53"/>
      <c r="U250" s="53"/>
      <c r="V250" s="53"/>
      <c r="W250" s="53"/>
      <c r="X250" s="53"/>
      <c r="Y250" s="82"/>
      <c r="Z250" s="82"/>
      <c r="AA250" s="53"/>
      <c r="AB250" s="53"/>
      <c r="AC250" s="57"/>
      <c r="AD250" s="57"/>
      <c r="AE250" s="57"/>
      <c r="AF250" s="57"/>
      <c r="AG250" s="57"/>
      <c r="AH250" s="57"/>
      <c r="AI250" s="57"/>
      <c r="AJ250" s="57"/>
      <c r="AK250" s="57"/>
      <c r="AL250" s="57"/>
      <c r="AM250" s="57"/>
      <c r="AN250" s="57"/>
      <c r="AO250" s="57"/>
      <c r="AP250" s="57"/>
      <c r="AQ250" s="57"/>
      <c r="AR250" s="57"/>
      <c r="AS250" s="57"/>
      <c r="AT250" s="57"/>
      <c r="AU250" s="57"/>
      <c r="AV250" s="57"/>
      <c r="AW250" s="57"/>
      <c r="AX250" s="57"/>
      <c r="AY250" s="57"/>
      <c r="AZ250" s="57"/>
      <c r="BA250" s="57"/>
      <c r="BB250" s="57"/>
    </row>
    <row r="251" spans="1:54" s="58" customFormat="1" ht="99.75" customHeight="1" x14ac:dyDescent="0.4">
      <c r="A251" s="105"/>
      <c r="B251" s="157" t="s">
        <v>140</v>
      </c>
      <c r="C251" s="104"/>
      <c r="D251" s="104"/>
      <c r="E251" s="104"/>
      <c r="F251" s="89" t="s">
        <v>26</v>
      </c>
      <c r="G251" s="107">
        <f t="shared" ref="G251:P251" si="85">G252+G253</f>
        <v>260306.96000000002</v>
      </c>
      <c r="H251" s="107">
        <f t="shared" si="85"/>
        <v>0</v>
      </c>
      <c r="I251" s="107">
        <f t="shared" si="85"/>
        <v>0</v>
      </c>
      <c r="J251" s="107">
        <f t="shared" si="85"/>
        <v>0</v>
      </c>
      <c r="K251" s="107">
        <f t="shared" si="85"/>
        <v>156183.67000000001</v>
      </c>
      <c r="L251" s="107">
        <f t="shared" si="85"/>
        <v>104123.29000000001</v>
      </c>
      <c r="M251" s="132">
        <f t="shared" si="85"/>
        <v>0</v>
      </c>
      <c r="N251" s="147">
        <f t="shared" si="85"/>
        <v>0</v>
      </c>
      <c r="O251" s="147">
        <f t="shared" si="85"/>
        <v>0</v>
      </c>
      <c r="P251" s="66">
        <f t="shared" si="85"/>
        <v>0</v>
      </c>
      <c r="Q251" s="163" t="s">
        <v>141</v>
      </c>
      <c r="R251" s="163" t="s">
        <v>142</v>
      </c>
      <c r="S251" s="170"/>
      <c r="T251" s="148" t="s">
        <v>48</v>
      </c>
      <c r="U251" s="148" t="s">
        <v>48</v>
      </c>
      <c r="V251" s="148" t="s">
        <v>48</v>
      </c>
      <c r="W251" s="148">
        <v>1</v>
      </c>
      <c r="X251" s="148" t="s">
        <v>48</v>
      </c>
      <c r="Y251" s="151" t="s">
        <v>48</v>
      </c>
      <c r="Z251" s="151" t="s">
        <v>48</v>
      </c>
      <c r="AA251" s="148" t="s">
        <v>48</v>
      </c>
      <c r="AB251" s="148" t="s">
        <v>48</v>
      </c>
      <c r="AC251" s="57"/>
      <c r="AD251" s="57"/>
      <c r="AE251" s="57"/>
      <c r="AF251" s="57"/>
      <c r="AG251" s="57"/>
      <c r="AH251" s="57"/>
      <c r="AI251" s="57"/>
      <c r="AJ251" s="57"/>
      <c r="AK251" s="57"/>
      <c r="AL251" s="57"/>
      <c r="AM251" s="57"/>
      <c r="AN251" s="57"/>
      <c r="AO251" s="57"/>
      <c r="AP251" s="57"/>
      <c r="AQ251" s="57"/>
      <c r="AR251" s="57"/>
      <c r="AS251" s="57"/>
      <c r="AT251" s="57"/>
      <c r="AU251" s="57"/>
      <c r="AV251" s="57"/>
      <c r="AW251" s="57"/>
      <c r="AX251" s="57"/>
      <c r="AY251" s="57"/>
      <c r="AZ251" s="57"/>
      <c r="BA251" s="57"/>
      <c r="BB251" s="57"/>
    </row>
    <row r="252" spans="1:54" s="58" customFormat="1" ht="235.5" customHeight="1" x14ac:dyDescent="0.4">
      <c r="A252" s="105"/>
      <c r="B252" s="158"/>
      <c r="C252" s="104"/>
      <c r="D252" s="104"/>
      <c r="E252" s="104"/>
      <c r="F252" s="89" t="s">
        <v>32</v>
      </c>
      <c r="G252" s="27">
        <f>SUM(H252:N252)</f>
        <v>5206.1399999999994</v>
      </c>
      <c r="H252" s="28">
        <v>0</v>
      </c>
      <c r="I252" s="27">
        <v>0</v>
      </c>
      <c r="J252" s="27">
        <v>0</v>
      </c>
      <c r="K252" s="27">
        <f>2082.45+1041.22</f>
        <v>3123.67</v>
      </c>
      <c r="L252" s="27">
        <v>2082.4699999999998</v>
      </c>
      <c r="M252" s="125">
        <v>0</v>
      </c>
      <c r="N252" s="146">
        <v>0</v>
      </c>
      <c r="O252" s="56">
        <v>0</v>
      </c>
      <c r="P252" s="56">
        <v>0</v>
      </c>
      <c r="Q252" s="164"/>
      <c r="R252" s="184"/>
      <c r="S252" s="186"/>
      <c r="T252" s="184"/>
      <c r="U252" s="184"/>
      <c r="V252" s="184"/>
      <c r="W252" s="184"/>
      <c r="X252" s="184"/>
      <c r="Y252" s="185"/>
      <c r="Z252" s="185"/>
      <c r="AA252" s="184"/>
      <c r="AB252" s="184"/>
      <c r="AC252" s="57"/>
      <c r="AD252" s="57"/>
      <c r="AE252" s="57"/>
      <c r="AF252" s="57"/>
      <c r="AG252" s="57"/>
      <c r="AH252" s="57"/>
      <c r="AI252" s="57"/>
      <c r="AJ252" s="57"/>
      <c r="AK252" s="57"/>
      <c r="AL252" s="57"/>
      <c r="AM252" s="57"/>
      <c r="AN252" s="57"/>
      <c r="AO252" s="57"/>
      <c r="AP252" s="57"/>
      <c r="AQ252" s="57"/>
      <c r="AR252" s="57"/>
      <c r="AS252" s="57"/>
      <c r="AT252" s="57"/>
      <c r="AU252" s="57"/>
      <c r="AV252" s="57"/>
      <c r="AW252" s="57"/>
      <c r="AX252" s="57"/>
      <c r="AY252" s="57"/>
      <c r="AZ252" s="57"/>
      <c r="BA252" s="57"/>
      <c r="BB252" s="57"/>
    </row>
    <row r="253" spans="1:54" s="58" customFormat="1" ht="212.25" customHeight="1" x14ac:dyDescent="0.4">
      <c r="A253" s="105"/>
      <c r="B253" s="159"/>
      <c r="C253" s="104"/>
      <c r="D253" s="104"/>
      <c r="E253" s="104"/>
      <c r="F253" s="89" t="s">
        <v>33</v>
      </c>
      <c r="G253" s="27">
        <f>SUM(H253:N253)</f>
        <v>255100.82</v>
      </c>
      <c r="H253" s="28">
        <v>0</v>
      </c>
      <c r="I253" s="27">
        <v>0</v>
      </c>
      <c r="J253" s="27">
        <v>0</v>
      </c>
      <c r="K253" s="27">
        <f>102040+51020</f>
        <v>153060</v>
      </c>
      <c r="L253" s="27">
        <v>102040.82</v>
      </c>
      <c r="M253" s="125">
        <v>0</v>
      </c>
      <c r="N253" s="146">
        <v>0</v>
      </c>
      <c r="O253" s="56">
        <v>0</v>
      </c>
      <c r="P253" s="56">
        <v>0</v>
      </c>
      <c r="Q253" s="165"/>
      <c r="R253" s="67" t="s">
        <v>50</v>
      </c>
      <c r="S253" s="68"/>
      <c r="T253" s="117" t="s">
        <v>48</v>
      </c>
      <c r="U253" s="117" t="s">
        <v>48</v>
      </c>
      <c r="V253" s="117" t="s">
        <v>48</v>
      </c>
      <c r="W253" s="117">
        <v>1</v>
      </c>
      <c r="X253" s="117">
        <v>1</v>
      </c>
      <c r="Y253" s="118" t="s">
        <v>48</v>
      </c>
      <c r="Z253" s="118" t="s">
        <v>48</v>
      </c>
      <c r="AA253" s="117" t="s">
        <v>48</v>
      </c>
      <c r="AB253" s="117" t="s">
        <v>48</v>
      </c>
      <c r="AC253" s="57"/>
      <c r="AD253" s="57"/>
      <c r="AE253" s="57"/>
      <c r="AF253" s="57"/>
      <c r="AG253" s="57"/>
      <c r="AH253" s="57"/>
      <c r="AI253" s="57"/>
      <c r="AJ253" s="57"/>
      <c r="AK253" s="57"/>
      <c r="AL253" s="57"/>
      <c r="AM253" s="57"/>
      <c r="AN253" s="57"/>
      <c r="AO253" s="57"/>
      <c r="AP253" s="57"/>
      <c r="AQ253" s="57"/>
      <c r="AR253" s="57"/>
      <c r="AS253" s="57"/>
      <c r="AT253" s="57"/>
      <c r="AU253" s="57"/>
      <c r="AV253" s="57"/>
      <c r="AW253" s="57"/>
      <c r="AX253" s="57"/>
      <c r="AY253" s="57"/>
      <c r="AZ253" s="57"/>
      <c r="BA253" s="57"/>
      <c r="BB253" s="57"/>
    </row>
    <row r="254" spans="1:54" s="58" customFormat="1" ht="204" customHeight="1" x14ac:dyDescent="0.4">
      <c r="A254" s="38" t="s">
        <v>143</v>
      </c>
      <c r="B254" s="89" t="s">
        <v>144</v>
      </c>
      <c r="C254" s="24">
        <v>2019</v>
      </c>
      <c r="D254" s="24">
        <v>2027</v>
      </c>
      <c r="E254" s="25"/>
      <c r="F254" s="89" t="s">
        <v>21</v>
      </c>
      <c r="G254" s="27" t="s">
        <v>21</v>
      </c>
      <c r="H254" s="28" t="s">
        <v>21</v>
      </c>
      <c r="I254" s="27" t="s">
        <v>21</v>
      </c>
      <c r="J254" s="27" t="s">
        <v>21</v>
      </c>
      <c r="K254" s="27" t="s">
        <v>21</v>
      </c>
      <c r="L254" s="27" t="s">
        <v>21</v>
      </c>
      <c r="M254" s="125" t="s">
        <v>21</v>
      </c>
      <c r="N254" s="28" t="s">
        <v>21</v>
      </c>
      <c r="O254" s="28" t="s">
        <v>21</v>
      </c>
      <c r="P254" s="27" t="s">
        <v>21</v>
      </c>
      <c r="Q254" s="53"/>
      <c r="R254" s="53"/>
      <c r="S254" s="53"/>
      <c r="T254" s="53"/>
      <c r="U254" s="53"/>
      <c r="V254" s="53"/>
      <c r="W254" s="53"/>
      <c r="X254" s="53"/>
      <c r="Y254" s="82"/>
      <c r="Z254" s="82"/>
      <c r="AA254" s="53"/>
      <c r="AB254" s="53"/>
      <c r="AC254" s="57"/>
      <c r="AD254" s="57"/>
      <c r="AE254" s="57"/>
      <c r="AF254" s="57"/>
      <c r="AG254" s="57"/>
      <c r="AH254" s="57"/>
      <c r="AI254" s="57"/>
      <c r="AJ254" s="57"/>
      <c r="AK254" s="57"/>
      <c r="AL254" s="57"/>
      <c r="AM254" s="57"/>
      <c r="AN254" s="57"/>
      <c r="AO254" s="57"/>
      <c r="AP254" s="57"/>
      <c r="AQ254" s="57"/>
      <c r="AR254" s="57"/>
      <c r="AS254" s="57"/>
      <c r="AT254" s="57"/>
      <c r="AU254" s="57"/>
      <c r="AV254" s="57"/>
      <c r="AW254" s="57"/>
      <c r="AX254" s="57"/>
      <c r="AY254" s="57"/>
      <c r="AZ254" s="57"/>
      <c r="BA254" s="57"/>
      <c r="BB254" s="57"/>
    </row>
    <row r="255" spans="1:54" s="58" customFormat="1" ht="145.5" hidden="1" customHeight="1" x14ac:dyDescent="0.4">
      <c r="A255" s="105"/>
      <c r="B255" s="157" t="s">
        <v>127</v>
      </c>
      <c r="C255" s="104"/>
      <c r="D255" s="104"/>
      <c r="E255" s="104"/>
      <c r="F255" s="89" t="s">
        <v>26</v>
      </c>
      <c r="G255" s="27">
        <f t="shared" ref="G255:P255" si="86">G256+G257</f>
        <v>74462109.700000003</v>
      </c>
      <c r="H255" s="27">
        <f t="shared" si="86"/>
        <v>2040816.33</v>
      </c>
      <c r="I255" s="27">
        <f t="shared" si="86"/>
        <v>15323394.949999999</v>
      </c>
      <c r="J255" s="27">
        <f t="shared" si="86"/>
        <v>9888863.9699999988</v>
      </c>
      <c r="K255" s="27">
        <f t="shared" si="86"/>
        <v>32665888.34</v>
      </c>
      <c r="L255" s="27">
        <f t="shared" si="86"/>
        <v>14543146.109999999</v>
      </c>
      <c r="M255" s="125">
        <f t="shared" si="86"/>
        <v>0</v>
      </c>
      <c r="N255" s="28">
        <f t="shared" si="86"/>
        <v>0</v>
      </c>
      <c r="O255" s="27"/>
      <c r="P255" s="27">
        <f t="shared" si="86"/>
        <v>0</v>
      </c>
      <c r="Q255" s="53"/>
      <c r="R255" s="53"/>
      <c r="S255" s="53"/>
      <c r="T255" s="53"/>
      <c r="U255" s="53"/>
      <c r="V255" s="53"/>
      <c r="W255" s="53"/>
      <c r="X255" s="53"/>
      <c r="Y255" s="82"/>
      <c r="Z255" s="82"/>
      <c r="AA255" s="53"/>
      <c r="AB255" s="53"/>
      <c r="AC255" s="57"/>
      <c r="AD255" s="57"/>
      <c r="AE255" s="57"/>
      <c r="AF255" s="57"/>
      <c r="AG255" s="57"/>
      <c r="AH255" s="57"/>
      <c r="AI255" s="57"/>
      <c r="AJ255" s="57"/>
      <c r="AK255" s="57"/>
      <c r="AL255" s="57"/>
      <c r="AM255" s="57"/>
      <c r="AN255" s="57"/>
      <c r="AO255" s="57"/>
      <c r="AP255" s="57"/>
      <c r="AQ255" s="57"/>
      <c r="AR255" s="57"/>
      <c r="AS255" s="57"/>
      <c r="AT255" s="57"/>
      <c r="AU255" s="57"/>
      <c r="AV255" s="57"/>
      <c r="AW255" s="57"/>
      <c r="AX255" s="57"/>
      <c r="AY255" s="57"/>
      <c r="AZ255" s="57"/>
      <c r="BA255" s="57"/>
      <c r="BB255" s="57"/>
    </row>
    <row r="256" spans="1:54" s="58" customFormat="1" ht="145.5" hidden="1" customHeight="1" x14ac:dyDescent="0.4">
      <c r="A256" s="105"/>
      <c r="B256" s="158"/>
      <c r="C256" s="104"/>
      <c r="D256" s="104"/>
      <c r="E256" s="104"/>
      <c r="F256" s="89" t="s">
        <v>32</v>
      </c>
      <c r="G256" s="27">
        <f>SUM(H256:N256)</f>
        <v>1489242.2</v>
      </c>
      <c r="H256" s="28">
        <f>H259+H262+H265+H268+H271</f>
        <v>40816.33</v>
      </c>
      <c r="I256" s="28">
        <f>I259+I262+I265+I268+I271</f>
        <v>306467.90000000002</v>
      </c>
      <c r="J256" s="28">
        <f t="shared" ref="J256:P257" si="87">J259+J262+J265+J268+J271+J274</f>
        <v>197777.28</v>
      </c>
      <c r="K256" s="28">
        <f t="shared" si="87"/>
        <v>653317.77</v>
      </c>
      <c r="L256" s="28">
        <f t="shared" si="87"/>
        <v>290862.92</v>
      </c>
      <c r="M256" s="125">
        <f t="shared" si="87"/>
        <v>0</v>
      </c>
      <c r="N256" s="28">
        <f t="shared" si="87"/>
        <v>0</v>
      </c>
      <c r="O256" s="28"/>
      <c r="P256" s="28">
        <f t="shared" si="87"/>
        <v>0</v>
      </c>
      <c r="Q256" s="53"/>
      <c r="R256" s="53"/>
      <c r="S256" s="53"/>
      <c r="T256" s="53"/>
      <c r="U256" s="53"/>
      <c r="V256" s="53"/>
      <c r="W256" s="53"/>
      <c r="X256" s="53"/>
      <c r="Y256" s="82"/>
      <c r="Z256" s="82"/>
      <c r="AA256" s="53"/>
      <c r="AB256" s="53"/>
      <c r="AC256" s="57"/>
      <c r="AD256" s="57"/>
      <c r="AE256" s="57"/>
      <c r="AF256" s="57"/>
      <c r="AG256" s="57"/>
      <c r="AH256" s="57"/>
      <c r="AI256" s="57"/>
      <c r="AJ256" s="57"/>
      <c r="AK256" s="57"/>
      <c r="AL256" s="57"/>
      <c r="AM256" s="57"/>
      <c r="AN256" s="57"/>
      <c r="AO256" s="57"/>
      <c r="AP256" s="57"/>
      <c r="AQ256" s="57"/>
      <c r="AR256" s="57"/>
      <c r="AS256" s="57"/>
      <c r="AT256" s="57"/>
      <c r="AU256" s="57"/>
      <c r="AV256" s="57"/>
      <c r="AW256" s="57"/>
      <c r="AX256" s="57"/>
      <c r="AY256" s="57"/>
      <c r="AZ256" s="57"/>
      <c r="BA256" s="57"/>
      <c r="BB256" s="57"/>
    </row>
    <row r="257" spans="1:54" s="58" customFormat="1" ht="145.5" hidden="1" customHeight="1" x14ac:dyDescent="0.4">
      <c r="A257" s="64"/>
      <c r="B257" s="159"/>
      <c r="C257" s="64"/>
      <c r="D257" s="64"/>
      <c r="E257" s="64"/>
      <c r="F257" s="89" t="s">
        <v>33</v>
      </c>
      <c r="G257" s="27">
        <f>SUM(H257:N257)</f>
        <v>72972867.5</v>
      </c>
      <c r="H257" s="40">
        <f>H260+H263+H266+H269+H272</f>
        <v>2000000</v>
      </c>
      <c r="I257" s="40">
        <f>I260+I263+I266+I269+I272</f>
        <v>15016927.049999999</v>
      </c>
      <c r="J257" s="40">
        <f t="shared" si="87"/>
        <v>9691086.6899999995</v>
      </c>
      <c r="K257" s="40">
        <f t="shared" si="87"/>
        <v>32012570.57</v>
      </c>
      <c r="L257" s="40">
        <f t="shared" si="87"/>
        <v>14252283.189999999</v>
      </c>
      <c r="M257" s="128">
        <f t="shared" si="87"/>
        <v>0</v>
      </c>
      <c r="N257" s="40">
        <f t="shared" si="87"/>
        <v>0</v>
      </c>
      <c r="O257" s="40"/>
      <c r="P257" s="40">
        <f t="shared" si="87"/>
        <v>0</v>
      </c>
      <c r="Q257" s="53"/>
      <c r="R257" s="53"/>
      <c r="S257" s="53"/>
      <c r="T257" s="53"/>
      <c r="U257" s="53"/>
      <c r="V257" s="53"/>
      <c r="W257" s="53"/>
      <c r="X257" s="53"/>
      <c r="Y257" s="82"/>
      <c r="Z257" s="82"/>
      <c r="AA257" s="53"/>
      <c r="AB257" s="53"/>
      <c r="AC257" s="57"/>
      <c r="AD257" s="57"/>
      <c r="AE257" s="57"/>
      <c r="AF257" s="57"/>
      <c r="AG257" s="57"/>
      <c r="AH257" s="57"/>
      <c r="AI257" s="57"/>
      <c r="AJ257" s="57"/>
      <c r="AK257" s="57"/>
      <c r="AL257" s="57"/>
      <c r="AM257" s="57"/>
      <c r="AN257" s="57"/>
      <c r="AO257" s="57"/>
      <c r="AP257" s="57"/>
      <c r="AQ257" s="57"/>
      <c r="AR257" s="57"/>
      <c r="AS257" s="57"/>
      <c r="AT257" s="57"/>
      <c r="AU257" s="57"/>
      <c r="AV257" s="57"/>
      <c r="AW257" s="57"/>
      <c r="AX257" s="57"/>
      <c r="AY257" s="57"/>
      <c r="AZ257" s="57"/>
      <c r="BA257" s="57"/>
      <c r="BB257" s="57"/>
    </row>
    <row r="258" spans="1:54" s="58" customFormat="1" ht="145.5" hidden="1" customHeight="1" x14ac:dyDescent="0.4">
      <c r="A258" s="105"/>
      <c r="B258" s="157" t="s">
        <v>128</v>
      </c>
      <c r="C258" s="104"/>
      <c r="D258" s="104"/>
      <c r="E258" s="104"/>
      <c r="F258" s="89" t="s">
        <v>26</v>
      </c>
      <c r="G258" s="107">
        <f t="shared" ref="G258:P258" si="88">G259+G260</f>
        <v>2040816.33</v>
      </c>
      <c r="H258" s="107">
        <f t="shared" si="88"/>
        <v>2040816.33</v>
      </c>
      <c r="I258" s="107">
        <f t="shared" si="88"/>
        <v>0</v>
      </c>
      <c r="J258" s="107">
        <f t="shared" si="88"/>
        <v>0</v>
      </c>
      <c r="K258" s="107">
        <f t="shared" si="88"/>
        <v>0</v>
      </c>
      <c r="L258" s="107">
        <f t="shared" si="88"/>
        <v>0</v>
      </c>
      <c r="M258" s="132">
        <f t="shared" si="88"/>
        <v>0</v>
      </c>
      <c r="N258" s="138">
        <f t="shared" si="88"/>
        <v>0</v>
      </c>
      <c r="O258" s="140"/>
      <c r="P258" s="107">
        <f t="shared" si="88"/>
        <v>0</v>
      </c>
      <c r="Q258" s="160" t="s">
        <v>129</v>
      </c>
      <c r="R258" s="163" t="s">
        <v>12</v>
      </c>
      <c r="S258" s="173"/>
      <c r="T258" s="148">
        <v>1</v>
      </c>
      <c r="U258" s="148" t="s">
        <v>48</v>
      </c>
      <c r="V258" s="148" t="s">
        <v>48</v>
      </c>
      <c r="W258" s="148" t="s">
        <v>48</v>
      </c>
      <c r="X258" s="148" t="s">
        <v>48</v>
      </c>
      <c r="Y258" s="151" t="s">
        <v>48</v>
      </c>
      <c r="Z258" s="151" t="s">
        <v>48</v>
      </c>
      <c r="AA258" s="115"/>
      <c r="AB258" s="148" t="s">
        <v>48</v>
      </c>
      <c r="AC258" s="57"/>
      <c r="AD258" s="57"/>
      <c r="AE258" s="57"/>
      <c r="AF258" s="57"/>
      <c r="AG258" s="57"/>
      <c r="AH258" s="57"/>
      <c r="AI258" s="57"/>
      <c r="AJ258" s="57"/>
      <c r="AK258" s="57"/>
      <c r="AL258" s="57"/>
      <c r="AM258" s="57"/>
      <c r="AN258" s="57"/>
      <c r="AO258" s="57"/>
      <c r="AP258" s="57"/>
      <c r="AQ258" s="57"/>
      <c r="AR258" s="57"/>
      <c r="AS258" s="57"/>
      <c r="AT258" s="57"/>
      <c r="AU258" s="57"/>
      <c r="AV258" s="57"/>
      <c r="AW258" s="57"/>
      <c r="AX258" s="57"/>
      <c r="AY258" s="57"/>
      <c r="AZ258" s="57"/>
      <c r="BA258" s="57"/>
      <c r="BB258" s="57"/>
    </row>
    <row r="259" spans="1:54" s="58" customFormat="1" ht="145.5" hidden="1" customHeight="1" x14ac:dyDescent="0.4">
      <c r="A259" s="105"/>
      <c r="B259" s="158"/>
      <c r="C259" s="104"/>
      <c r="D259" s="104"/>
      <c r="E259" s="104"/>
      <c r="F259" s="89" t="s">
        <v>32</v>
      </c>
      <c r="G259" s="27">
        <f>SUM(H259:N259)</f>
        <v>40816.33</v>
      </c>
      <c r="H259" s="28">
        <v>40816.33</v>
      </c>
      <c r="I259" s="27">
        <v>0</v>
      </c>
      <c r="J259" s="27">
        <v>0</v>
      </c>
      <c r="K259" s="27">
        <v>0</v>
      </c>
      <c r="L259" s="27">
        <v>0</v>
      </c>
      <c r="M259" s="125">
        <v>0</v>
      </c>
      <c r="N259" s="28">
        <v>0</v>
      </c>
      <c r="O259" s="27"/>
      <c r="P259" s="27">
        <v>0</v>
      </c>
      <c r="Q259" s="161"/>
      <c r="R259" s="164"/>
      <c r="S259" s="174"/>
      <c r="T259" s="149"/>
      <c r="U259" s="149"/>
      <c r="V259" s="149"/>
      <c r="W259" s="149"/>
      <c r="X259" s="149"/>
      <c r="Y259" s="152"/>
      <c r="Z259" s="152"/>
      <c r="AA259" s="116"/>
      <c r="AB259" s="149"/>
      <c r="AC259" s="57"/>
      <c r="AD259" s="57"/>
      <c r="AE259" s="57"/>
      <c r="AF259" s="57"/>
      <c r="AG259" s="57"/>
      <c r="AH259" s="57"/>
      <c r="AI259" s="57"/>
      <c r="AJ259" s="57"/>
      <c r="AK259" s="57"/>
      <c r="AL259" s="57"/>
      <c r="AM259" s="57"/>
      <c r="AN259" s="57"/>
      <c r="AO259" s="57"/>
      <c r="AP259" s="57"/>
      <c r="AQ259" s="57"/>
      <c r="AR259" s="57"/>
      <c r="AS259" s="57"/>
      <c r="AT259" s="57"/>
      <c r="AU259" s="57"/>
      <c r="AV259" s="57"/>
      <c r="AW259" s="57"/>
      <c r="AX259" s="57"/>
      <c r="AY259" s="57"/>
      <c r="AZ259" s="57"/>
      <c r="BA259" s="57"/>
      <c r="BB259" s="57"/>
    </row>
    <row r="260" spans="1:54" s="58" customFormat="1" ht="145.5" hidden="1" customHeight="1" x14ac:dyDescent="0.4">
      <c r="A260" s="105"/>
      <c r="B260" s="159"/>
      <c r="C260" s="104"/>
      <c r="D260" s="104"/>
      <c r="E260" s="104"/>
      <c r="F260" s="89" t="s">
        <v>33</v>
      </c>
      <c r="G260" s="27">
        <f>SUM(H260:N260)</f>
        <v>2000000</v>
      </c>
      <c r="H260" s="28">
        <v>2000000</v>
      </c>
      <c r="I260" s="27">
        <v>0</v>
      </c>
      <c r="J260" s="27">
        <v>0</v>
      </c>
      <c r="K260" s="27">
        <v>0</v>
      </c>
      <c r="L260" s="27">
        <v>0</v>
      </c>
      <c r="M260" s="125">
        <v>0</v>
      </c>
      <c r="N260" s="28">
        <v>0</v>
      </c>
      <c r="O260" s="27"/>
      <c r="P260" s="27">
        <v>0</v>
      </c>
      <c r="Q260" s="162"/>
      <c r="R260" s="165"/>
      <c r="S260" s="175"/>
      <c r="T260" s="150"/>
      <c r="U260" s="150"/>
      <c r="V260" s="150"/>
      <c r="W260" s="150"/>
      <c r="X260" s="150"/>
      <c r="Y260" s="153"/>
      <c r="Z260" s="153"/>
      <c r="AA260" s="117"/>
      <c r="AB260" s="150"/>
      <c r="AC260" s="57"/>
      <c r="AD260" s="57"/>
      <c r="AE260" s="57"/>
      <c r="AF260" s="57"/>
      <c r="AG260" s="57"/>
      <c r="AH260" s="57"/>
      <c r="AI260" s="57"/>
      <c r="AJ260" s="57"/>
      <c r="AK260" s="57"/>
      <c r="AL260" s="57"/>
      <c r="AM260" s="57"/>
      <c r="AN260" s="57"/>
      <c r="AO260" s="57"/>
      <c r="AP260" s="57"/>
      <c r="AQ260" s="57"/>
      <c r="AR260" s="57"/>
      <c r="AS260" s="57"/>
      <c r="AT260" s="57"/>
      <c r="AU260" s="57"/>
      <c r="AV260" s="57"/>
      <c r="AW260" s="57"/>
      <c r="AX260" s="57"/>
      <c r="AY260" s="57"/>
      <c r="AZ260" s="57"/>
      <c r="BA260" s="57"/>
      <c r="BB260" s="57"/>
    </row>
    <row r="261" spans="1:54" s="58" customFormat="1" ht="145.5" hidden="1" customHeight="1" x14ac:dyDescent="0.4">
      <c r="A261" s="105"/>
      <c r="B261" s="157" t="s">
        <v>130</v>
      </c>
      <c r="C261" s="104"/>
      <c r="D261" s="104"/>
      <c r="E261" s="104"/>
      <c r="F261" s="89" t="s">
        <v>26</v>
      </c>
      <c r="G261" s="107">
        <f t="shared" ref="G261:P261" si="89">G262+G263</f>
        <v>15326622.15</v>
      </c>
      <c r="H261" s="107">
        <f t="shared" si="89"/>
        <v>0</v>
      </c>
      <c r="I261" s="107">
        <f t="shared" si="89"/>
        <v>7142857.1399999997</v>
      </c>
      <c r="J261" s="107">
        <f t="shared" si="89"/>
        <v>8183765.0099999998</v>
      </c>
      <c r="K261" s="107">
        <f t="shared" si="89"/>
        <v>0</v>
      </c>
      <c r="L261" s="107">
        <f t="shared" si="89"/>
        <v>0</v>
      </c>
      <c r="M261" s="132">
        <f t="shared" si="89"/>
        <v>0</v>
      </c>
      <c r="N261" s="138">
        <f t="shared" si="89"/>
        <v>0</v>
      </c>
      <c r="O261" s="140"/>
      <c r="P261" s="107">
        <f t="shared" si="89"/>
        <v>0</v>
      </c>
      <c r="Q261" s="160" t="s">
        <v>131</v>
      </c>
      <c r="R261" s="163" t="s">
        <v>12</v>
      </c>
      <c r="S261" s="173"/>
      <c r="T261" s="148" t="s">
        <v>48</v>
      </c>
      <c r="U261" s="148" t="s">
        <v>48</v>
      </c>
      <c r="V261" s="148">
        <v>1</v>
      </c>
      <c r="W261" s="148" t="s">
        <v>48</v>
      </c>
      <c r="X261" s="148" t="s">
        <v>48</v>
      </c>
      <c r="Y261" s="151" t="s">
        <v>48</v>
      </c>
      <c r="Z261" s="151" t="s">
        <v>48</v>
      </c>
      <c r="AA261" s="115"/>
      <c r="AB261" s="148" t="s">
        <v>48</v>
      </c>
      <c r="AC261" s="57"/>
      <c r="AD261" s="57"/>
      <c r="AE261" s="57"/>
      <c r="AF261" s="57"/>
      <c r="AG261" s="57"/>
      <c r="AH261" s="57"/>
      <c r="AI261" s="57"/>
      <c r="AJ261" s="57"/>
      <c r="AK261" s="57"/>
      <c r="AL261" s="57"/>
      <c r="AM261" s="57"/>
      <c r="AN261" s="57"/>
      <c r="AO261" s="57"/>
      <c r="AP261" s="57"/>
      <c r="AQ261" s="57"/>
      <c r="AR261" s="57"/>
      <c r="AS261" s="57"/>
      <c r="AT261" s="57"/>
      <c r="AU261" s="57"/>
      <c r="AV261" s="57"/>
      <c r="AW261" s="57"/>
      <c r="AX261" s="57"/>
      <c r="AY261" s="57"/>
      <c r="AZ261" s="57"/>
      <c r="BA261" s="57"/>
      <c r="BB261" s="57"/>
    </row>
    <row r="262" spans="1:54" s="58" customFormat="1" ht="145.5" hidden="1" customHeight="1" x14ac:dyDescent="0.4">
      <c r="A262" s="105"/>
      <c r="B262" s="158"/>
      <c r="C262" s="104"/>
      <c r="D262" s="104"/>
      <c r="E262" s="104"/>
      <c r="F262" s="89" t="s">
        <v>32</v>
      </c>
      <c r="G262" s="27">
        <f>SUM(H262:N262)</f>
        <v>306532.44</v>
      </c>
      <c r="H262" s="28">
        <v>0</v>
      </c>
      <c r="I262" s="27">
        <v>142857.14000000001</v>
      </c>
      <c r="J262" s="27">
        <v>163675.29999999999</v>
      </c>
      <c r="K262" s="27">
        <v>0</v>
      </c>
      <c r="L262" s="27">
        <v>0</v>
      </c>
      <c r="M262" s="125">
        <v>0</v>
      </c>
      <c r="N262" s="28">
        <v>0</v>
      </c>
      <c r="O262" s="27"/>
      <c r="P262" s="27">
        <v>0</v>
      </c>
      <c r="Q262" s="161"/>
      <c r="R262" s="164"/>
      <c r="S262" s="174"/>
      <c r="T262" s="149"/>
      <c r="U262" s="149"/>
      <c r="V262" s="149"/>
      <c r="W262" s="149"/>
      <c r="X262" s="149"/>
      <c r="Y262" s="152"/>
      <c r="Z262" s="152"/>
      <c r="AA262" s="116"/>
      <c r="AB262" s="149"/>
      <c r="AC262" s="57"/>
      <c r="AD262" s="57"/>
      <c r="AE262" s="57"/>
      <c r="AF262" s="57"/>
      <c r="AG262" s="57"/>
      <c r="AH262" s="57"/>
      <c r="AI262" s="57"/>
      <c r="AJ262" s="57"/>
      <c r="AK262" s="57"/>
      <c r="AL262" s="57"/>
      <c r="AM262" s="57"/>
      <c r="AN262" s="57"/>
      <c r="AO262" s="57"/>
      <c r="AP262" s="57"/>
      <c r="AQ262" s="57"/>
      <c r="AR262" s="57"/>
      <c r="AS262" s="57"/>
      <c r="AT262" s="57"/>
      <c r="AU262" s="57"/>
      <c r="AV262" s="57"/>
      <c r="AW262" s="57"/>
      <c r="AX262" s="57"/>
      <c r="AY262" s="57"/>
      <c r="AZ262" s="57"/>
      <c r="BA262" s="57"/>
      <c r="BB262" s="57"/>
    </row>
    <row r="263" spans="1:54" s="58" customFormat="1" ht="145.5" hidden="1" customHeight="1" x14ac:dyDescent="0.4">
      <c r="A263" s="105"/>
      <c r="B263" s="172"/>
      <c r="C263" s="64"/>
      <c r="D263" s="64"/>
      <c r="E263" s="64"/>
      <c r="F263" s="89" t="s">
        <v>33</v>
      </c>
      <c r="G263" s="27">
        <f>SUM(H263:N263)</f>
        <v>15020089.710000001</v>
      </c>
      <c r="H263" s="28">
        <v>0</v>
      </c>
      <c r="I263" s="27">
        <v>7000000</v>
      </c>
      <c r="J263" s="27">
        <v>8020089.71</v>
      </c>
      <c r="K263" s="27">
        <v>0</v>
      </c>
      <c r="L263" s="27">
        <v>0</v>
      </c>
      <c r="M263" s="125">
        <v>0</v>
      </c>
      <c r="N263" s="28">
        <v>0</v>
      </c>
      <c r="O263" s="27"/>
      <c r="P263" s="27">
        <v>0</v>
      </c>
      <c r="Q263" s="162"/>
      <c r="R263" s="165"/>
      <c r="S263" s="175"/>
      <c r="T263" s="150"/>
      <c r="U263" s="150"/>
      <c r="V263" s="150"/>
      <c r="W263" s="150"/>
      <c r="X263" s="150"/>
      <c r="Y263" s="153"/>
      <c r="Z263" s="153"/>
      <c r="AA263" s="117"/>
      <c r="AB263" s="150"/>
      <c r="AC263" s="57"/>
      <c r="AD263" s="57"/>
      <c r="AE263" s="57"/>
      <c r="AF263" s="57"/>
      <c r="AG263" s="57"/>
      <c r="AH263" s="57"/>
      <c r="AI263" s="57"/>
      <c r="AJ263" s="57"/>
      <c r="AK263" s="57"/>
      <c r="AL263" s="57"/>
      <c r="AM263" s="57"/>
      <c r="AN263" s="57"/>
      <c r="AO263" s="57"/>
      <c r="AP263" s="57"/>
      <c r="AQ263" s="57"/>
      <c r="AR263" s="57"/>
      <c r="AS263" s="57"/>
      <c r="AT263" s="57"/>
      <c r="AU263" s="57"/>
      <c r="AV263" s="57"/>
      <c r="AW263" s="57"/>
      <c r="AX263" s="57"/>
      <c r="AY263" s="57"/>
      <c r="AZ263" s="57"/>
      <c r="BA263" s="57"/>
      <c r="BB263" s="57"/>
    </row>
    <row r="264" spans="1:54" s="58" customFormat="1" ht="145.5" hidden="1" customHeight="1" x14ac:dyDescent="0.4">
      <c r="A264" s="105"/>
      <c r="B264" s="157" t="s">
        <v>132</v>
      </c>
      <c r="C264" s="104"/>
      <c r="D264" s="104"/>
      <c r="E264" s="104"/>
      <c r="F264" s="89" t="s">
        <v>26</v>
      </c>
      <c r="G264" s="27">
        <f t="shared" ref="G264:P264" si="90">G265+G266</f>
        <v>5056839.3499999996</v>
      </c>
      <c r="H264" s="27">
        <f t="shared" si="90"/>
        <v>0</v>
      </c>
      <c r="I264" s="27">
        <f t="shared" si="90"/>
        <v>5056839.3499999996</v>
      </c>
      <c r="J264" s="27">
        <f t="shared" si="90"/>
        <v>0</v>
      </c>
      <c r="K264" s="27">
        <f t="shared" si="90"/>
        <v>0</v>
      </c>
      <c r="L264" s="27">
        <f t="shared" si="90"/>
        <v>0</v>
      </c>
      <c r="M264" s="125">
        <f t="shared" si="90"/>
        <v>0</v>
      </c>
      <c r="N264" s="28">
        <f t="shared" si="90"/>
        <v>0</v>
      </c>
      <c r="O264" s="27"/>
      <c r="P264" s="27">
        <f t="shared" si="90"/>
        <v>0</v>
      </c>
      <c r="Q264" s="178" t="s">
        <v>133</v>
      </c>
      <c r="R264" s="163" t="s">
        <v>12</v>
      </c>
      <c r="S264" s="173"/>
      <c r="T264" s="148" t="s">
        <v>48</v>
      </c>
      <c r="U264" s="148">
        <v>1</v>
      </c>
      <c r="V264" s="148" t="s">
        <v>48</v>
      </c>
      <c r="W264" s="148" t="s">
        <v>48</v>
      </c>
      <c r="X264" s="148" t="s">
        <v>48</v>
      </c>
      <c r="Y264" s="151" t="s">
        <v>48</v>
      </c>
      <c r="Z264" s="151" t="s">
        <v>48</v>
      </c>
      <c r="AA264" s="115"/>
      <c r="AB264" s="148" t="s">
        <v>48</v>
      </c>
      <c r="AC264" s="57"/>
      <c r="AD264" s="57"/>
      <c r="AE264" s="57"/>
      <c r="AF264" s="57"/>
      <c r="AG264" s="57"/>
      <c r="AH264" s="57"/>
      <c r="AI264" s="57"/>
      <c r="AJ264" s="57"/>
      <c r="AK264" s="57"/>
      <c r="AL264" s="57"/>
      <c r="AM264" s="57"/>
      <c r="AN264" s="57"/>
      <c r="AO264" s="57"/>
      <c r="AP264" s="57"/>
      <c r="AQ264" s="57"/>
      <c r="AR264" s="57"/>
      <c r="AS264" s="57"/>
      <c r="AT264" s="57"/>
      <c r="AU264" s="57"/>
      <c r="AV264" s="57"/>
      <c r="AW264" s="57"/>
      <c r="AX264" s="57"/>
      <c r="AY264" s="57"/>
      <c r="AZ264" s="57"/>
      <c r="BA264" s="57"/>
      <c r="BB264" s="57"/>
    </row>
    <row r="265" spans="1:54" s="58" customFormat="1" ht="145.5" hidden="1" customHeight="1" x14ac:dyDescent="0.4">
      <c r="A265" s="105"/>
      <c r="B265" s="158"/>
      <c r="C265" s="104"/>
      <c r="D265" s="104"/>
      <c r="E265" s="104"/>
      <c r="F265" s="89" t="s">
        <v>32</v>
      </c>
      <c r="G265" s="27">
        <f>SUM(H265:N265)</f>
        <v>101136.79</v>
      </c>
      <c r="H265" s="28">
        <v>0</v>
      </c>
      <c r="I265" s="28">
        <v>101136.79</v>
      </c>
      <c r="J265" s="28">
        <v>0</v>
      </c>
      <c r="K265" s="28">
        <v>0</v>
      </c>
      <c r="L265" s="28">
        <v>0</v>
      </c>
      <c r="M265" s="125">
        <v>0</v>
      </c>
      <c r="N265" s="28">
        <v>0</v>
      </c>
      <c r="O265" s="28"/>
      <c r="P265" s="28">
        <v>0</v>
      </c>
      <c r="Q265" s="179"/>
      <c r="R265" s="164"/>
      <c r="S265" s="174"/>
      <c r="T265" s="149"/>
      <c r="U265" s="149"/>
      <c r="V265" s="149"/>
      <c r="W265" s="149"/>
      <c r="X265" s="149"/>
      <c r="Y265" s="152"/>
      <c r="Z265" s="152"/>
      <c r="AA265" s="116"/>
      <c r="AB265" s="149"/>
      <c r="AC265" s="57"/>
      <c r="AD265" s="57"/>
      <c r="AE265" s="57"/>
      <c r="AF265" s="57"/>
      <c r="AG265" s="57"/>
      <c r="AH265" s="57"/>
      <c r="AI265" s="57"/>
      <c r="AJ265" s="57"/>
      <c r="AK265" s="57"/>
      <c r="AL265" s="57"/>
      <c r="AM265" s="57"/>
      <c r="AN265" s="57"/>
      <c r="AO265" s="57"/>
      <c r="AP265" s="57"/>
      <c r="AQ265" s="57"/>
      <c r="AR265" s="57"/>
      <c r="AS265" s="57"/>
      <c r="AT265" s="57"/>
      <c r="AU265" s="57"/>
      <c r="AV265" s="57"/>
      <c r="AW265" s="57"/>
      <c r="AX265" s="57"/>
      <c r="AY265" s="57"/>
      <c r="AZ265" s="57"/>
      <c r="BA265" s="57"/>
      <c r="BB265" s="57"/>
    </row>
    <row r="266" spans="1:54" s="58" customFormat="1" ht="145.5" hidden="1" customHeight="1" x14ac:dyDescent="0.4">
      <c r="A266" s="105"/>
      <c r="B266" s="172"/>
      <c r="C266" s="104"/>
      <c r="D266" s="104"/>
      <c r="E266" s="104"/>
      <c r="F266" s="89" t="s">
        <v>33</v>
      </c>
      <c r="G266" s="27">
        <f>SUM(H266:N266)</f>
        <v>4955702.5599999996</v>
      </c>
      <c r="H266" s="28">
        <v>0</v>
      </c>
      <c r="I266" s="28">
        <f>99114.05+4856588.51</f>
        <v>4955702.5599999996</v>
      </c>
      <c r="J266" s="28">
        <v>0</v>
      </c>
      <c r="K266" s="28">
        <v>0</v>
      </c>
      <c r="L266" s="28">
        <v>0</v>
      </c>
      <c r="M266" s="125">
        <v>0</v>
      </c>
      <c r="N266" s="28">
        <v>0</v>
      </c>
      <c r="O266" s="28"/>
      <c r="P266" s="28">
        <v>0</v>
      </c>
      <c r="Q266" s="180"/>
      <c r="R266" s="165"/>
      <c r="S266" s="175"/>
      <c r="T266" s="150"/>
      <c r="U266" s="150"/>
      <c r="V266" s="150"/>
      <c r="W266" s="150"/>
      <c r="X266" s="150"/>
      <c r="Y266" s="153"/>
      <c r="Z266" s="153"/>
      <c r="AA266" s="117"/>
      <c r="AB266" s="150"/>
      <c r="AC266" s="57"/>
      <c r="AD266" s="57"/>
      <c r="AE266" s="57"/>
      <c r="AF266" s="57"/>
      <c r="AG266" s="57"/>
      <c r="AH266" s="57"/>
      <c r="AI266" s="57"/>
      <c r="AJ266" s="57"/>
      <c r="AK266" s="57"/>
      <c r="AL266" s="57"/>
      <c r="AM266" s="57"/>
      <c r="AN266" s="57"/>
      <c r="AO266" s="57"/>
      <c r="AP266" s="57"/>
      <c r="AQ266" s="57"/>
      <c r="AR266" s="57"/>
      <c r="AS266" s="57"/>
      <c r="AT266" s="57"/>
      <c r="AU266" s="57"/>
      <c r="AV266" s="57"/>
      <c r="AW266" s="57"/>
      <c r="AX266" s="57"/>
      <c r="AY266" s="57"/>
      <c r="AZ266" s="57"/>
      <c r="BA266" s="57"/>
      <c r="BB266" s="57"/>
    </row>
    <row r="267" spans="1:54" s="58" customFormat="1" ht="145.5" hidden="1" customHeight="1" x14ac:dyDescent="0.4">
      <c r="A267" s="105"/>
      <c r="B267" s="177" t="s">
        <v>134</v>
      </c>
      <c r="C267" s="104"/>
      <c r="D267" s="104"/>
      <c r="E267" s="104"/>
      <c r="F267" s="89" t="s">
        <v>26</v>
      </c>
      <c r="G267" s="27">
        <f t="shared" ref="G267:P267" si="91">G268+G269</f>
        <v>3123698.4600000004</v>
      </c>
      <c r="H267" s="27">
        <f t="shared" si="91"/>
        <v>0</v>
      </c>
      <c r="I267" s="27">
        <f t="shared" si="91"/>
        <v>3123698.4600000004</v>
      </c>
      <c r="J267" s="27">
        <f t="shared" si="91"/>
        <v>0</v>
      </c>
      <c r="K267" s="27">
        <f t="shared" si="91"/>
        <v>0</v>
      </c>
      <c r="L267" s="27">
        <f t="shared" si="91"/>
        <v>0</v>
      </c>
      <c r="M267" s="125">
        <f t="shared" si="91"/>
        <v>0</v>
      </c>
      <c r="N267" s="28">
        <f t="shared" si="91"/>
        <v>0</v>
      </c>
      <c r="O267" s="27"/>
      <c r="P267" s="27">
        <f t="shared" si="91"/>
        <v>0</v>
      </c>
      <c r="Q267" s="178" t="s">
        <v>135</v>
      </c>
      <c r="R267" s="163" t="s">
        <v>12</v>
      </c>
      <c r="S267" s="181"/>
      <c r="T267" s="148" t="s">
        <v>48</v>
      </c>
      <c r="U267" s="148">
        <v>1</v>
      </c>
      <c r="V267" s="148" t="s">
        <v>48</v>
      </c>
      <c r="W267" s="148" t="s">
        <v>48</v>
      </c>
      <c r="X267" s="148" t="s">
        <v>48</v>
      </c>
      <c r="Y267" s="151" t="s">
        <v>48</v>
      </c>
      <c r="Z267" s="151" t="s">
        <v>48</v>
      </c>
      <c r="AA267" s="115"/>
      <c r="AB267" s="148" t="s">
        <v>48</v>
      </c>
      <c r="AC267" s="57"/>
      <c r="AD267" s="57"/>
      <c r="AE267" s="57"/>
      <c r="AF267" s="57"/>
      <c r="AG267" s="57"/>
      <c r="AH267" s="57"/>
      <c r="AI267" s="57"/>
      <c r="AJ267" s="57"/>
      <c r="AK267" s="57"/>
      <c r="AL267" s="57"/>
      <c r="AM267" s="57"/>
      <c r="AN267" s="57"/>
      <c r="AO267" s="57"/>
      <c r="AP267" s="57"/>
      <c r="AQ267" s="57"/>
      <c r="AR267" s="57"/>
      <c r="AS267" s="57"/>
      <c r="AT267" s="57"/>
      <c r="AU267" s="57"/>
      <c r="AV267" s="57"/>
      <c r="AW267" s="57"/>
      <c r="AX267" s="57"/>
      <c r="AY267" s="57"/>
      <c r="AZ267" s="57"/>
      <c r="BA267" s="57"/>
      <c r="BB267" s="57"/>
    </row>
    <row r="268" spans="1:54" s="58" customFormat="1" ht="145.5" hidden="1" customHeight="1" x14ac:dyDescent="0.4">
      <c r="A268" s="105"/>
      <c r="B268" s="158"/>
      <c r="C268" s="104"/>
      <c r="D268" s="104"/>
      <c r="E268" s="104"/>
      <c r="F268" s="89" t="s">
        <v>32</v>
      </c>
      <c r="G268" s="27">
        <f>SUM(H268:N268)</f>
        <v>62473.97</v>
      </c>
      <c r="H268" s="28">
        <v>0</v>
      </c>
      <c r="I268" s="28">
        <v>62473.97</v>
      </c>
      <c r="J268" s="28">
        <v>0</v>
      </c>
      <c r="K268" s="28">
        <v>0</v>
      </c>
      <c r="L268" s="28">
        <v>0</v>
      </c>
      <c r="M268" s="125">
        <v>0</v>
      </c>
      <c r="N268" s="28">
        <v>0</v>
      </c>
      <c r="O268" s="28"/>
      <c r="P268" s="28">
        <v>0</v>
      </c>
      <c r="Q268" s="179"/>
      <c r="R268" s="164"/>
      <c r="S268" s="182"/>
      <c r="T268" s="149"/>
      <c r="U268" s="149"/>
      <c r="V268" s="149"/>
      <c r="W268" s="149"/>
      <c r="X268" s="149"/>
      <c r="Y268" s="152"/>
      <c r="Z268" s="152"/>
      <c r="AA268" s="116"/>
      <c r="AB268" s="149"/>
      <c r="AC268" s="57"/>
      <c r="AD268" s="57"/>
      <c r="AE268" s="57"/>
      <c r="AF268" s="57"/>
      <c r="AG268" s="57"/>
      <c r="AH268" s="57"/>
      <c r="AI268" s="57"/>
      <c r="AJ268" s="57"/>
      <c r="AK268" s="57"/>
      <c r="AL268" s="57"/>
      <c r="AM268" s="57"/>
      <c r="AN268" s="57"/>
      <c r="AO268" s="57"/>
      <c r="AP268" s="57"/>
      <c r="AQ268" s="57"/>
      <c r="AR268" s="57"/>
      <c r="AS268" s="57"/>
      <c r="AT268" s="57"/>
      <c r="AU268" s="57"/>
      <c r="AV268" s="57"/>
      <c r="AW268" s="57"/>
      <c r="AX268" s="57"/>
      <c r="AY268" s="57"/>
      <c r="AZ268" s="57"/>
      <c r="BA268" s="57"/>
      <c r="BB268" s="57"/>
    </row>
    <row r="269" spans="1:54" s="58" customFormat="1" ht="145.5" hidden="1" customHeight="1" x14ac:dyDescent="0.4">
      <c r="A269" s="105"/>
      <c r="B269" s="159"/>
      <c r="C269" s="104"/>
      <c r="D269" s="104"/>
      <c r="E269" s="104"/>
      <c r="F269" s="89" t="s">
        <v>33</v>
      </c>
      <c r="G269" s="27">
        <f>SUM(H269:N269)</f>
        <v>3061224.49</v>
      </c>
      <c r="H269" s="28">
        <v>0</v>
      </c>
      <c r="I269" s="28">
        <v>3061224.49</v>
      </c>
      <c r="J269" s="28">
        <v>0</v>
      </c>
      <c r="K269" s="28">
        <v>0</v>
      </c>
      <c r="L269" s="28">
        <v>0</v>
      </c>
      <c r="M269" s="125">
        <v>0</v>
      </c>
      <c r="N269" s="28">
        <v>0</v>
      </c>
      <c r="O269" s="28"/>
      <c r="P269" s="28">
        <v>0</v>
      </c>
      <c r="Q269" s="180"/>
      <c r="R269" s="165"/>
      <c r="S269" s="183"/>
      <c r="T269" s="150"/>
      <c r="U269" s="150"/>
      <c r="V269" s="150"/>
      <c r="W269" s="150"/>
      <c r="X269" s="150"/>
      <c r="Y269" s="153"/>
      <c r="Z269" s="153"/>
      <c r="AA269" s="117"/>
      <c r="AB269" s="150"/>
      <c r="AC269" s="57"/>
      <c r="AD269" s="57"/>
      <c r="AE269" s="57"/>
      <c r="AF269" s="57"/>
      <c r="AG269" s="57"/>
      <c r="AH269" s="57"/>
      <c r="AI269" s="57"/>
      <c r="AJ269" s="57"/>
      <c r="AK269" s="57"/>
      <c r="AL269" s="57"/>
      <c r="AM269" s="57"/>
      <c r="AN269" s="57"/>
      <c r="AO269" s="57"/>
      <c r="AP269" s="57"/>
      <c r="AQ269" s="57"/>
      <c r="AR269" s="57"/>
      <c r="AS269" s="57"/>
      <c r="AT269" s="57"/>
      <c r="AU269" s="57"/>
      <c r="AV269" s="57"/>
      <c r="AW269" s="57"/>
      <c r="AX269" s="57"/>
      <c r="AY269" s="57"/>
      <c r="AZ269" s="57"/>
      <c r="BA269" s="57"/>
      <c r="BB269" s="57"/>
    </row>
    <row r="270" spans="1:54" s="58" customFormat="1" ht="145.5" hidden="1" customHeight="1" x14ac:dyDescent="0.4">
      <c r="A270" s="105"/>
      <c r="B270" s="157" t="s">
        <v>136</v>
      </c>
      <c r="C270" s="104"/>
      <c r="D270" s="104"/>
      <c r="E270" s="104"/>
      <c r="F270" s="89" t="s">
        <v>26</v>
      </c>
      <c r="G270" s="27">
        <f t="shared" ref="G270:P270" si="92">G271+G272</f>
        <v>1705098.96</v>
      </c>
      <c r="H270" s="27">
        <f t="shared" si="92"/>
        <v>0</v>
      </c>
      <c r="I270" s="27">
        <f t="shared" si="92"/>
        <v>0</v>
      </c>
      <c r="J270" s="27">
        <f t="shared" si="92"/>
        <v>1705098.96</v>
      </c>
      <c r="K270" s="27">
        <f t="shared" si="92"/>
        <v>0</v>
      </c>
      <c r="L270" s="27">
        <f t="shared" si="92"/>
        <v>0</v>
      </c>
      <c r="M270" s="125">
        <f t="shared" si="92"/>
        <v>0</v>
      </c>
      <c r="N270" s="28">
        <f t="shared" si="92"/>
        <v>0</v>
      </c>
      <c r="O270" s="27"/>
      <c r="P270" s="27">
        <f t="shared" si="92"/>
        <v>0</v>
      </c>
      <c r="Q270" s="160" t="s">
        <v>137</v>
      </c>
      <c r="R270" s="163" t="s">
        <v>12</v>
      </c>
      <c r="S270" s="173"/>
      <c r="T270" s="148" t="s">
        <v>48</v>
      </c>
      <c r="U270" s="148" t="s">
        <v>48</v>
      </c>
      <c r="V270" s="148">
        <v>1</v>
      </c>
      <c r="W270" s="148" t="s">
        <v>48</v>
      </c>
      <c r="X270" s="148" t="s">
        <v>48</v>
      </c>
      <c r="Y270" s="151" t="s">
        <v>48</v>
      </c>
      <c r="Z270" s="151" t="s">
        <v>48</v>
      </c>
      <c r="AA270" s="115"/>
      <c r="AB270" s="148" t="s">
        <v>48</v>
      </c>
      <c r="AC270" s="57"/>
      <c r="AD270" s="57"/>
      <c r="AE270" s="57"/>
      <c r="AF270" s="57"/>
      <c r="AG270" s="57"/>
      <c r="AH270" s="57"/>
      <c r="AI270" s="57"/>
      <c r="AJ270" s="57"/>
      <c r="AK270" s="57"/>
      <c r="AL270" s="57"/>
      <c r="AM270" s="57"/>
      <c r="AN270" s="57"/>
      <c r="AO270" s="57"/>
      <c r="AP270" s="57"/>
      <c r="AQ270" s="57"/>
      <c r="AR270" s="57"/>
      <c r="AS270" s="57"/>
      <c r="AT270" s="57"/>
      <c r="AU270" s="57"/>
      <c r="AV270" s="57"/>
      <c r="AW270" s="57"/>
      <c r="AX270" s="57"/>
      <c r="AY270" s="57"/>
      <c r="AZ270" s="57"/>
      <c r="BA270" s="57"/>
      <c r="BB270" s="57"/>
    </row>
    <row r="271" spans="1:54" s="58" customFormat="1" ht="145.5" hidden="1" customHeight="1" x14ac:dyDescent="0.4">
      <c r="A271" s="105"/>
      <c r="B271" s="158"/>
      <c r="C271" s="104"/>
      <c r="D271" s="104"/>
      <c r="E271" s="104"/>
      <c r="F271" s="89" t="s">
        <v>32</v>
      </c>
      <c r="G271" s="27">
        <f>SUM(H271:N271)</f>
        <v>34101.980000000003</v>
      </c>
      <c r="H271" s="28">
        <v>0</v>
      </c>
      <c r="I271" s="28">
        <v>0</v>
      </c>
      <c r="J271" s="28">
        <v>34101.980000000003</v>
      </c>
      <c r="K271" s="28">
        <v>0</v>
      </c>
      <c r="L271" s="28">
        <v>0</v>
      </c>
      <c r="M271" s="125">
        <v>0</v>
      </c>
      <c r="N271" s="28">
        <v>0</v>
      </c>
      <c r="O271" s="28"/>
      <c r="P271" s="28">
        <v>0</v>
      </c>
      <c r="Q271" s="161"/>
      <c r="R271" s="164"/>
      <c r="S271" s="174"/>
      <c r="T271" s="149"/>
      <c r="U271" s="149"/>
      <c r="V271" s="149"/>
      <c r="W271" s="149"/>
      <c r="X271" s="149"/>
      <c r="Y271" s="152"/>
      <c r="Z271" s="152"/>
      <c r="AA271" s="116"/>
      <c r="AB271" s="149"/>
      <c r="AC271" s="57"/>
      <c r="AD271" s="57"/>
      <c r="AE271" s="57"/>
      <c r="AF271" s="57"/>
      <c r="AG271" s="57"/>
      <c r="AH271" s="57"/>
      <c r="AI271" s="57"/>
      <c r="AJ271" s="57"/>
      <c r="AK271" s="57"/>
      <c r="AL271" s="57"/>
      <c r="AM271" s="57"/>
      <c r="AN271" s="57"/>
      <c r="AO271" s="57"/>
      <c r="AP271" s="57"/>
      <c r="AQ271" s="57"/>
      <c r="AR271" s="57"/>
      <c r="AS271" s="57"/>
      <c r="AT271" s="57"/>
      <c r="AU271" s="57"/>
      <c r="AV271" s="57"/>
      <c r="AW271" s="57"/>
      <c r="AX271" s="57"/>
      <c r="AY271" s="57"/>
      <c r="AZ271" s="57"/>
      <c r="BA271" s="57"/>
      <c r="BB271" s="57"/>
    </row>
    <row r="272" spans="1:54" s="58" customFormat="1" ht="145.5" hidden="1" customHeight="1" x14ac:dyDescent="0.4">
      <c r="A272" s="105"/>
      <c r="B272" s="172"/>
      <c r="C272" s="104"/>
      <c r="D272" s="104"/>
      <c r="E272" s="104"/>
      <c r="F272" s="89" t="s">
        <v>33</v>
      </c>
      <c r="G272" s="27">
        <f>SUM(H272:N272)</f>
        <v>1670996.98</v>
      </c>
      <c r="H272" s="28">
        <v>0</v>
      </c>
      <c r="I272" s="28">
        <v>0</v>
      </c>
      <c r="J272" s="28">
        <v>1670996.98</v>
      </c>
      <c r="K272" s="28">
        <v>0</v>
      </c>
      <c r="L272" s="28">
        <v>0</v>
      </c>
      <c r="M272" s="125">
        <v>0</v>
      </c>
      <c r="N272" s="28">
        <v>0</v>
      </c>
      <c r="O272" s="28"/>
      <c r="P272" s="28">
        <v>0</v>
      </c>
      <c r="Q272" s="162"/>
      <c r="R272" s="165"/>
      <c r="S272" s="175"/>
      <c r="T272" s="150"/>
      <c r="U272" s="150"/>
      <c r="V272" s="150"/>
      <c r="W272" s="150"/>
      <c r="X272" s="150"/>
      <c r="Y272" s="153"/>
      <c r="Z272" s="153"/>
      <c r="AA272" s="117"/>
      <c r="AB272" s="150"/>
      <c r="AC272" s="57"/>
      <c r="AD272" s="57"/>
      <c r="AE272" s="57"/>
      <c r="AF272" s="57"/>
      <c r="AG272" s="57"/>
      <c r="AH272" s="57"/>
      <c r="AI272" s="57"/>
      <c r="AJ272" s="57"/>
      <c r="AK272" s="57"/>
      <c r="AL272" s="57"/>
      <c r="AM272" s="57"/>
      <c r="AN272" s="57"/>
      <c r="AO272" s="57"/>
      <c r="AP272" s="57"/>
      <c r="AQ272" s="57"/>
      <c r="AR272" s="57"/>
      <c r="AS272" s="57"/>
      <c r="AT272" s="57"/>
      <c r="AU272" s="57"/>
      <c r="AV272" s="57"/>
      <c r="AW272" s="57"/>
      <c r="AX272" s="57"/>
      <c r="AY272" s="57"/>
      <c r="AZ272" s="57"/>
      <c r="BA272" s="57"/>
      <c r="BB272" s="57"/>
    </row>
    <row r="273" spans="1:54" s="58" customFormat="1" ht="145.5" hidden="1" customHeight="1" x14ac:dyDescent="0.4">
      <c r="A273" s="105"/>
      <c r="B273" s="157" t="s">
        <v>138</v>
      </c>
      <c r="C273" s="104"/>
      <c r="D273" s="104"/>
      <c r="E273" s="104"/>
      <c r="F273" s="89" t="s">
        <v>26</v>
      </c>
      <c r="G273" s="27">
        <f t="shared" ref="G273:P273" si="93">G274+G275</f>
        <v>47209034.449999996</v>
      </c>
      <c r="H273" s="27">
        <f t="shared" si="93"/>
        <v>0</v>
      </c>
      <c r="I273" s="27">
        <f t="shared" si="93"/>
        <v>0</v>
      </c>
      <c r="J273" s="27">
        <f t="shared" si="93"/>
        <v>0</v>
      </c>
      <c r="K273" s="27">
        <f t="shared" si="93"/>
        <v>32665888.34</v>
      </c>
      <c r="L273" s="27">
        <f t="shared" si="93"/>
        <v>14543146.109999999</v>
      </c>
      <c r="M273" s="125">
        <f t="shared" si="93"/>
        <v>0</v>
      </c>
      <c r="N273" s="28">
        <f t="shared" si="93"/>
        <v>0</v>
      </c>
      <c r="O273" s="27"/>
      <c r="P273" s="27">
        <f t="shared" si="93"/>
        <v>0</v>
      </c>
      <c r="Q273" s="160" t="s">
        <v>131</v>
      </c>
      <c r="R273" s="163" t="s">
        <v>12</v>
      </c>
      <c r="S273" s="173"/>
      <c r="T273" s="148" t="s">
        <v>48</v>
      </c>
      <c r="U273" s="148" t="s">
        <v>48</v>
      </c>
      <c r="V273" s="148" t="s">
        <v>48</v>
      </c>
      <c r="W273" s="148">
        <v>1</v>
      </c>
      <c r="X273" s="148">
        <v>1</v>
      </c>
      <c r="Y273" s="151" t="s">
        <v>48</v>
      </c>
      <c r="Z273" s="151" t="s">
        <v>48</v>
      </c>
      <c r="AA273" s="115"/>
      <c r="AB273" s="148" t="s">
        <v>48</v>
      </c>
      <c r="AC273" s="57"/>
      <c r="AD273" s="57"/>
      <c r="AE273" s="57"/>
      <c r="AF273" s="57"/>
      <c r="AG273" s="57"/>
      <c r="AH273" s="57"/>
      <c r="AI273" s="57"/>
      <c r="AJ273" s="57"/>
      <c r="AK273" s="57"/>
      <c r="AL273" s="57"/>
      <c r="AM273" s="57"/>
      <c r="AN273" s="57"/>
      <c r="AO273" s="57"/>
      <c r="AP273" s="57"/>
      <c r="AQ273" s="57"/>
      <c r="AR273" s="57"/>
      <c r="AS273" s="57"/>
      <c r="AT273" s="57"/>
      <c r="AU273" s="57"/>
      <c r="AV273" s="57"/>
      <c r="AW273" s="57"/>
      <c r="AX273" s="57"/>
      <c r="AY273" s="57"/>
      <c r="AZ273" s="57"/>
      <c r="BA273" s="57"/>
      <c r="BB273" s="57"/>
    </row>
    <row r="274" spans="1:54" s="58" customFormat="1" ht="145.5" hidden="1" customHeight="1" x14ac:dyDescent="0.4">
      <c r="A274" s="105"/>
      <c r="B274" s="158"/>
      <c r="C274" s="104"/>
      <c r="D274" s="104"/>
      <c r="E274" s="104"/>
      <c r="F274" s="89" t="s">
        <v>32</v>
      </c>
      <c r="G274" s="27">
        <f>SUM(H274:N274)</f>
        <v>944180.69</v>
      </c>
      <c r="H274" s="28">
        <v>0</v>
      </c>
      <c r="I274" s="28">
        <v>0</v>
      </c>
      <c r="J274" s="28">
        <v>0</v>
      </c>
      <c r="K274" s="28">
        <v>653317.77</v>
      </c>
      <c r="L274" s="28">
        <v>290862.92</v>
      </c>
      <c r="M274" s="125">
        <v>0</v>
      </c>
      <c r="N274" s="28">
        <v>0</v>
      </c>
      <c r="O274" s="28"/>
      <c r="P274" s="28">
        <v>0</v>
      </c>
      <c r="Q274" s="161"/>
      <c r="R274" s="164"/>
      <c r="S274" s="174"/>
      <c r="T274" s="149"/>
      <c r="U274" s="149"/>
      <c r="V274" s="149"/>
      <c r="W274" s="149"/>
      <c r="X274" s="149"/>
      <c r="Y274" s="152"/>
      <c r="Z274" s="152"/>
      <c r="AA274" s="116"/>
      <c r="AB274" s="149"/>
      <c r="AC274" s="57"/>
      <c r="AD274" s="57"/>
      <c r="AE274" s="57"/>
      <c r="AF274" s="57"/>
      <c r="AG274" s="57"/>
      <c r="AH274" s="57"/>
      <c r="AI274" s="57"/>
      <c r="AJ274" s="57"/>
      <c r="AK274" s="57"/>
      <c r="AL274" s="57"/>
      <c r="AM274" s="57"/>
      <c r="AN274" s="57"/>
      <c r="AO274" s="57"/>
      <c r="AP274" s="57"/>
      <c r="AQ274" s="57"/>
      <c r="AR274" s="57"/>
      <c r="AS274" s="57"/>
      <c r="AT274" s="57"/>
      <c r="AU274" s="57"/>
      <c r="AV274" s="57"/>
      <c r="AW274" s="57"/>
      <c r="AX274" s="57"/>
      <c r="AY274" s="57"/>
      <c r="AZ274" s="57"/>
      <c r="BA274" s="57"/>
      <c r="BB274" s="57"/>
    </row>
    <row r="275" spans="1:54" s="58" customFormat="1" ht="145.5" hidden="1" customHeight="1" x14ac:dyDescent="0.4">
      <c r="A275" s="105"/>
      <c r="B275" s="172"/>
      <c r="C275" s="104"/>
      <c r="D275" s="104"/>
      <c r="E275" s="104"/>
      <c r="F275" s="89" t="s">
        <v>33</v>
      </c>
      <c r="G275" s="27">
        <f>SUM(H275:N275)</f>
        <v>46264853.759999998</v>
      </c>
      <c r="H275" s="28">
        <v>0</v>
      </c>
      <c r="I275" s="28">
        <v>0</v>
      </c>
      <c r="J275" s="28">
        <v>0</v>
      </c>
      <c r="K275" s="28">
        <f>3521382.76+28491187.81</f>
        <v>32012570.57</v>
      </c>
      <c r="L275" s="28">
        <v>14252283.189999999</v>
      </c>
      <c r="M275" s="125">
        <v>0</v>
      </c>
      <c r="N275" s="28">
        <v>0</v>
      </c>
      <c r="O275" s="28"/>
      <c r="P275" s="28">
        <v>0</v>
      </c>
      <c r="Q275" s="162"/>
      <c r="R275" s="165"/>
      <c r="S275" s="175"/>
      <c r="T275" s="150"/>
      <c r="U275" s="150"/>
      <c r="V275" s="150"/>
      <c r="W275" s="150"/>
      <c r="X275" s="150"/>
      <c r="Y275" s="153"/>
      <c r="Z275" s="153"/>
      <c r="AA275" s="117"/>
      <c r="AB275" s="150"/>
      <c r="AC275" s="57"/>
      <c r="AD275" s="57"/>
      <c r="AE275" s="57"/>
      <c r="AF275" s="57"/>
      <c r="AG275" s="57"/>
      <c r="AH275" s="57"/>
      <c r="AI275" s="57"/>
      <c r="AJ275" s="57"/>
      <c r="AK275" s="57"/>
      <c r="AL275" s="57"/>
      <c r="AM275" s="57"/>
      <c r="AN275" s="57"/>
      <c r="AO275" s="57"/>
      <c r="AP275" s="57"/>
      <c r="AQ275" s="57"/>
      <c r="AR275" s="57"/>
      <c r="AS275" s="57"/>
      <c r="AT275" s="57"/>
      <c r="AU275" s="57"/>
      <c r="AV275" s="57"/>
      <c r="AW275" s="57"/>
      <c r="AX275" s="57"/>
      <c r="AY275" s="57"/>
      <c r="AZ275" s="57"/>
      <c r="BA275" s="57"/>
      <c r="BB275" s="57"/>
    </row>
    <row r="276" spans="1:54" s="58" customFormat="1" ht="145.5" hidden="1" customHeight="1" x14ac:dyDescent="0.4">
      <c r="A276" s="105"/>
      <c r="B276" s="157" t="s">
        <v>139</v>
      </c>
      <c r="C276" s="104"/>
      <c r="D276" s="104"/>
      <c r="E276" s="104"/>
      <c r="F276" s="89" t="s">
        <v>26</v>
      </c>
      <c r="G276" s="27">
        <f t="shared" ref="G276:P276" si="94">G277+G278</f>
        <v>260307.49000000002</v>
      </c>
      <c r="H276" s="27">
        <f t="shared" si="94"/>
        <v>0</v>
      </c>
      <c r="I276" s="27">
        <f t="shared" si="94"/>
        <v>0</v>
      </c>
      <c r="J276" s="27">
        <f t="shared" si="94"/>
        <v>0</v>
      </c>
      <c r="K276" s="27">
        <f t="shared" si="94"/>
        <v>156183.67000000001</v>
      </c>
      <c r="L276" s="27">
        <f t="shared" si="94"/>
        <v>104123.82</v>
      </c>
      <c r="M276" s="125">
        <f t="shared" si="94"/>
        <v>0</v>
      </c>
      <c r="N276" s="146">
        <f t="shared" si="94"/>
        <v>0</v>
      </c>
      <c r="O276" s="56"/>
      <c r="P276" s="56">
        <f t="shared" si="94"/>
        <v>0</v>
      </c>
      <c r="Q276" s="53"/>
      <c r="R276" s="53"/>
      <c r="S276" s="53"/>
      <c r="T276" s="53"/>
      <c r="U276" s="53"/>
      <c r="V276" s="53"/>
      <c r="W276" s="53"/>
      <c r="X276" s="53"/>
      <c r="Y276" s="82"/>
      <c r="Z276" s="82"/>
      <c r="AA276" s="53"/>
      <c r="AB276" s="53"/>
      <c r="AC276" s="57"/>
      <c r="AD276" s="57"/>
      <c r="AE276" s="57"/>
      <c r="AF276" s="57"/>
      <c r="AG276" s="57"/>
      <c r="AH276" s="57"/>
      <c r="AI276" s="57"/>
      <c r="AJ276" s="57"/>
      <c r="AK276" s="57"/>
      <c r="AL276" s="57"/>
      <c r="AM276" s="57"/>
      <c r="AN276" s="57"/>
      <c r="AO276" s="57"/>
      <c r="AP276" s="57"/>
      <c r="AQ276" s="57"/>
      <c r="AR276" s="57"/>
      <c r="AS276" s="57"/>
      <c r="AT276" s="57"/>
      <c r="AU276" s="57"/>
      <c r="AV276" s="57"/>
      <c r="AW276" s="57"/>
      <c r="AX276" s="57"/>
      <c r="AY276" s="57"/>
      <c r="AZ276" s="57"/>
      <c r="BA276" s="57"/>
      <c r="BB276" s="57"/>
    </row>
    <row r="277" spans="1:54" s="58" customFormat="1" ht="145.5" hidden="1" customHeight="1" x14ac:dyDescent="0.4">
      <c r="A277" s="105"/>
      <c r="B277" s="158"/>
      <c r="C277" s="104"/>
      <c r="D277" s="104"/>
      <c r="E277" s="104"/>
      <c r="F277" s="89" t="s">
        <v>32</v>
      </c>
      <c r="G277" s="27">
        <f>SUM(H277:N277)</f>
        <v>5206.67</v>
      </c>
      <c r="H277" s="28">
        <f t="shared" ref="H277:P278" si="95">H280</f>
        <v>0</v>
      </c>
      <c r="I277" s="28">
        <f t="shared" si="95"/>
        <v>0</v>
      </c>
      <c r="J277" s="28">
        <f t="shared" si="95"/>
        <v>0</v>
      </c>
      <c r="K277" s="28">
        <f t="shared" si="95"/>
        <v>3123.67</v>
      </c>
      <c r="L277" s="28">
        <f t="shared" si="95"/>
        <v>2083</v>
      </c>
      <c r="M277" s="125">
        <f t="shared" si="95"/>
        <v>0</v>
      </c>
      <c r="N277" s="28">
        <f t="shared" si="95"/>
        <v>0</v>
      </c>
      <c r="O277" s="28"/>
      <c r="P277" s="28">
        <f t="shared" si="95"/>
        <v>0</v>
      </c>
      <c r="Q277" s="53"/>
      <c r="R277" s="53"/>
      <c r="S277" s="53"/>
      <c r="T277" s="53"/>
      <c r="U277" s="53"/>
      <c r="V277" s="53"/>
      <c r="W277" s="53"/>
      <c r="X277" s="53"/>
      <c r="Y277" s="82"/>
      <c r="Z277" s="82"/>
      <c r="AA277" s="53"/>
      <c r="AB277" s="53"/>
      <c r="AC277" s="57"/>
      <c r="AD277" s="57"/>
      <c r="AE277" s="57"/>
      <c r="AF277" s="57"/>
      <c r="AG277" s="57"/>
      <c r="AH277" s="57"/>
      <c r="AI277" s="57"/>
      <c r="AJ277" s="57"/>
      <c r="AK277" s="57"/>
      <c r="AL277" s="57"/>
      <c r="AM277" s="57"/>
      <c r="AN277" s="57"/>
      <c r="AO277" s="57"/>
      <c r="AP277" s="57"/>
      <c r="AQ277" s="57"/>
      <c r="AR277" s="57"/>
      <c r="AS277" s="57"/>
      <c r="AT277" s="57"/>
      <c r="AU277" s="57"/>
      <c r="AV277" s="57"/>
      <c r="AW277" s="57"/>
      <c r="AX277" s="57"/>
      <c r="AY277" s="57"/>
      <c r="AZ277" s="57"/>
      <c r="BA277" s="57"/>
      <c r="BB277" s="57"/>
    </row>
    <row r="278" spans="1:54" s="58" customFormat="1" ht="145.5" hidden="1" customHeight="1" x14ac:dyDescent="0.4">
      <c r="A278" s="64"/>
      <c r="B278" s="159"/>
      <c r="C278" s="64"/>
      <c r="D278" s="64"/>
      <c r="E278" s="64"/>
      <c r="F278" s="89" t="s">
        <v>33</v>
      </c>
      <c r="G278" s="27">
        <f>SUM(H278:N278)</f>
        <v>255100.82</v>
      </c>
      <c r="H278" s="28">
        <f t="shared" si="95"/>
        <v>0</v>
      </c>
      <c r="I278" s="28">
        <f t="shared" si="95"/>
        <v>0</v>
      </c>
      <c r="J278" s="28">
        <f t="shared" si="95"/>
        <v>0</v>
      </c>
      <c r="K278" s="28">
        <f t="shared" si="95"/>
        <v>153060</v>
      </c>
      <c r="L278" s="28">
        <f t="shared" si="95"/>
        <v>102040.82</v>
      </c>
      <c r="M278" s="125">
        <f t="shared" si="95"/>
        <v>0</v>
      </c>
      <c r="N278" s="28">
        <f t="shared" si="95"/>
        <v>0</v>
      </c>
      <c r="O278" s="28"/>
      <c r="P278" s="28">
        <f t="shared" si="95"/>
        <v>0</v>
      </c>
      <c r="Q278" s="65"/>
      <c r="R278" s="53"/>
      <c r="S278" s="53"/>
      <c r="T278" s="53"/>
      <c r="U278" s="53"/>
      <c r="V278" s="53"/>
      <c r="W278" s="53"/>
      <c r="X278" s="53"/>
      <c r="Y278" s="82"/>
      <c r="Z278" s="82"/>
      <c r="AA278" s="53"/>
      <c r="AB278" s="53"/>
      <c r="AC278" s="57"/>
      <c r="AD278" s="57"/>
      <c r="AE278" s="57"/>
      <c r="AF278" s="57"/>
      <c r="AG278" s="57"/>
      <c r="AH278" s="57"/>
      <c r="AI278" s="57"/>
      <c r="AJ278" s="57"/>
      <c r="AK278" s="57"/>
      <c r="AL278" s="57"/>
      <c r="AM278" s="57"/>
      <c r="AN278" s="57"/>
      <c r="AO278" s="57"/>
      <c r="AP278" s="57"/>
      <c r="AQ278" s="57"/>
      <c r="AR278" s="57"/>
      <c r="AS278" s="57"/>
      <c r="AT278" s="57"/>
      <c r="AU278" s="57"/>
      <c r="AV278" s="57"/>
      <c r="AW278" s="57"/>
      <c r="AX278" s="57"/>
      <c r="AY278" s="57"/>
      <c r="AZ278" s="57"/>
      <c r="BA278" s="57"/>
      <c r="BB278" s="57"/>
    </row>
    <row r="279" spans="1:54" s="58" customFormat="1" ht="145.5" hidden="1" customHeight="1" x14ac:dyDescent="0.4">
      <c r="A279" s="105"/>
      <c r="B279" s="157" t="s">
        <v>140</v>
      </c>
      <c r="C279" s="104"/>
      <c r="D279" s="104"/>
      <c r="E279" s="104"/>
      <c r="F279" s="89" t="s">
        <v>26</v>
      </c>
      <c r="G279" s="107">
        <f t="shared" ref="G279:P279" si="96">G280+G281</f>
        <v>260307.49000000002</v>
      </c>
      <c r="H279" s="107">
        <f t="shared" si="96"/>
        <v>0</v>
      </c>
      <c r="I279" s="107">
        <f t="shared" si="96"/>
        <v>0</v>
      </c>
      <c r="J279" s="107">
        <f t="shared" si="96"/>
        <v>0</v>
      </c>
      <c r="K279" s="107">
        <f t="shared" si="96"/>
        <v>156183.67000000001</v>
      </c>
      <c r="L279" s="107">
        <f t="shared" si="96"/>
        <v>104123.82</v>
      </c>
      <c r="M279" s="132">
        <f t="shared" si="96"/>
        <v>0</v>
      </c>
      <c r="N279" s="147">
        <f t="shared" si="96"/>
        <v>0</v>
      </c>
      <c r="O279" s="66"/>
      <c r="P279" s="66">
        <f t="shared" si="96"/>
        <v>0</v>
      </c>
      <c r="Q279" s="163" t="s">
        <v>145</v>
      </c>
      <c r="R279" s="163" t="s">
        <v>142</v>
      </c>
      <c r="S279" s="170"/>
      <c r="T279" s="148" t="s">
        <v>48</v>
      </c>
      <c r="U279" s="148" t="s">
        <v>48</v>
      </c>
      <c r="V279" s="148" t="s">
        <v>48</v>
      </c>
      <c r="W279" s="148">
        <v>1</v>
      </c>
      <c r="X279" s="148">
        <v>1</v>
      </c>
      <c r="Y279" s="151">
        <v>1</v>
      </c>
      <c r="Z279" s="151">
        <v>1</v>
      </c>
      <c r="AA279" s="115"/>
      <c r="AB279" s="148">
        <v>1</v>
      </c>
      <c r="AC279" s="57"/>
      <c r="AD279" s="57"/>
      <c r="AE279" s="57"/>
      <c r="AF279" s="57"/>
      <c r="AG279" s="57"/>
      <c r="AH279" s="57"/>
      <c r="AI279" s="57"/>
      <c r="AJ279" s="57"/>
      <c r="AK279" s="57"/>
      <c r="AL279" s="57"/>
      <c r="AM279" s="57"/>
      <c r="AN279" s="57"/>
      <c r="AO279" s="57"/>
      <c r="AP279" s="57"/>
      <c r="AQ279" s="57"/>
      <c r="AR279" s="57"/>
      <c r="AS279" s="57"/>
      <c r="AT279" s="57"/>
      <c r="AU279" s="57"/>
      <c r="AV279" s="57"/>
      <c r="AW279" s="57"/>
      <c r="AX279" s="57"/>
      <c r="AY279" s="57"/>
      <c r="AZ279" s="57"/>
      <c r="BA279" s="57"/>
      <c r="BB279" s="57"/>
    </row>
    <row r="280" spans="1:54" s="58" customFormat="1" ht="145.5" hidden="1" customHeight="1" x14ac:dyDescent="0.4">
      <c r="A280" s="105"/>
      <c r="B280" s="158"/>
      <c r="C280" s="104"/>
      <c r="D280" s="104"/>
      <c r="E280" s="104"/>
      <c r="F280" s="89" t="s">
        <v>32</v>
      </c>
      <c r="G280" s="27">
        <f>SUM(H280:N280)</f>
        <v>5206.67</v>
      </c>
      <c r="H280" s="28">
        <v>0</v>
      </c>
      <c r="I280" s="27">
        <v>0</v>
      </c>
      <c r="J280" s="27">
        <v>0</v>
      </c>
      <c r="K280" s="27">
        <f>2082.45+1041.22</f>
        <v>3123.67</v>
      </c>
      <c r="L280" s="27">
        <v>2083</v>
      </c>
      <c r="M280" s="125">
        <v>0</v>
      </c>
      <c r="N280" s="146">
        <v>0</v>
      </c>
      <c r="O280" s="56"/>
      <c r="P280" s="56">
        <v>0</v>
      </c>
      <c r="Q280" s="164"/>
      <c r="R280" s="169"/>
      <c r="S280" s="171"/>
      <c r="T280" s="169"/>
      <c r="U280" s="169"/>
      <c r="V280" s="169"/>
      <c r="W280" s="169"/>
      <c r="X280" s="169"/>
      <c r="Y280" s="176"/>
      <c r="Z280" s="176"/>
      <c r="AA280" s="119"/>
      <c r="AB280" s="169"/>
      <c r="AC280" s="57"/>
      <c r="AD280" s="57"/>
      <c r="AE280" s="57"/>
      <c r="AF280" s="57"/>
      <c r="AG280" s="57"/>
      <c r="AH280" s="57"/>
      <c r="AI280" s="57"/>
      <c r="AJ280" s="57"/>
      <c r="AK280" s="57"/>
      <c r="AL280" s="57"/>
      <c r="AM280" s="57"/>
      <c r="AN280" s="57"/>
      <c r="AO280" s="57"/>
      <c r="AP280" s="57"/>
      <c r="AQ280" s="57"/>
      <c r="AR280" s="57"/>
      <c r="AS280" s="57"/>
      <c r="AT280" s="57"/>
      <c r="AU280" s="57"/>
      <c r="AV280" s="57"/>
      <c r="AW280" s="57"/>
      <c r="AX280" s="57"/>
      <c r="AY280" s="57"/>
      <c r="AZ280" s="57"/>
      <c r="BA280" s="57"/>
      <c r="BB280" s="57"/>
    </row>
    <row r="281" spans="1:54" s="58" customFormat="1" ht="145.5" hidden="1" customHeight="1" x14ac:dyDescent="0.4">
      <c r="A281" s="105"/>
      <c r="B281" s="159"/>
      <c r="C281" s="104"/>
      <c r="D281" s="104"/>
      <c r="E281" s="104"/>
      <c r="F281" s="89" t="s">
        <v>33</v>
      </c>
      <c r="G281" s="27">
        <f>SUM(H281:N281)</f>
        <v>255100.82</v>
      </c>
      <c r="H281" s="28">
        <v>0</v>
      </c>
      <c r="I281" s="27">
        <v>0</v>
      </c>
      <c r="J281" s="27">
        <v>0</v>
      </c>
      <c r="K281" s="27">
        <f>102040+51020</f>
        <v>153060</v>
      </c>
      <c r="L281" s="27">
        <v>102040.82</v>
      </c>
      <c r="M281" s="125">
        <v>0</v>
      </c>
      <c r="N281" s="146">
        <v>0</v>
      </c>
      <c r="O281" s="56"/>
      <c r="P281" s="56">
        <v>0</v>
      </c>
      <c r="Q281" s="165"/>
      <c r="R281" s="67" t="s">
        <v>50</v>
      </c>
      <c r="S281" s="68"/>
      <c r="T281" s="117" t="s">
        <v>48</v>
      </c>
      <c r="U281" s="117" t="s">
        <v>48</v>
      </c>
      <c r="V281" s="117" t="s">
        <v>48</v>
      </c>
      <c r="W281" s="117">
        <v>1</v>
      </c>
      <c r="X281" s="117">
        <v>1</v>
      </c>
      <c r="Y281" s="118">
        <v>1</v>
      </c>
      <c r="Z281" s="118">
        <v>1</v>
      </c>
      <c r="AA281" s="117"/>
      <c r="AB281" s="117">
        <v>1</v>
      </c>
      <c r="AC281" s="57"/>
      <c r="AD281" s="57"/>
      <c r="AE281" s="57"/>
      <c r="AF281" s="57"/>
      <c r="AG281" s="57"/>
      <c r="AH281" s="57"/>
      <c r="AI281" s="57"/>
      <c r="AJ281" s="57"/>
      <c r="AK281" s="57"/>
      <c r="AL281" s="57"/>
      <c r="AM281" s="57"/>
      <c r="AN281" s="57"/>
      <c r="AO281" s="57"/>
      <c r="AP281" s="57"/>
      <c r="AQ281" s="57"/>
      <c r="AR281" s="57"/>
      <c r="AS281" s="57"/>
      <c r="AT281" s="57"/>
      <c r="AU281" s="57"/>
      <c r="AV281" s="57"/>
      <c r="AW281" s="57"/>
      <c r="AX281" s="57"/>
      <c r="AY281" s="57"/>
      <c r="AZ281" s="57"/>
      <c r="BA281" s="57"/>
      <c r="BB281" s="57"/>
    </row>
    <row r="282" spans="1:54" s="58" customFormat="1" ht="142.5" customHeight="1" x14ac:dyDescent="0.4">
      <c r="A282" s="105"/>
      <c r="B282" s="154" t="s">
        <v>146</v>
      </c>
      <c r="C282" s="104"/>
      <c r="D282" s="104"/>
      <c r="E282" s="104"/>
      <c r="F282" s="89" t="s">
        <v>26</v>
      </c>
      <c r="G282" s="27">
        <f t="shared" ref="G282:P282" si="97">G283+G284</f>
        <v>1653671.28</v>
      </c>
      <c r="H282" s="27">
        <f t="shared" si="97"/>
        <v>0</v>
      </c>
      <c r="I282" s="27">
        <f t="shared" si="97"/>
        <v>0</v>
      </c>
      <c r="J282" s="27">
        <f t="shared" si="97"/>
        <v>0</v>
      </c>
      <c r="K282" s="27">
        <f t="shared" si="97"/>
        <v>0</v>
      </c>
      <c r="L282" s="27">
        <f t="shared" si="97"/>
        <v>1653671.28</v>
      </c>
      <c r="M282" s="125">
        <f t="shared" si="97"/>
        <v>0</v>
      </c>
      <c r="N282" s="28">
        <f t="shared" si="97"/>
        <v>0</v>
      </c>
      <c r="O282" s="28">
        <f t="shared" si="97"/>
        <v>0</v>
      </c>
      <c r="P282" s="27">
        <f t="shared" si="97"/>
        <v>0</v>
      </c>
      <c r="Q282" s="53"/>
      <c r="R282" s="53"/>
      <c r="S282" s="53"/>
      <c r="T282" s="53"/>
      <c r="U282" s="53"/>
      <c r="V282" s="53"/>
      <c r="W282" s="53"/>
      <c r="X282" s="53"/>
      <c r="Y282" s="82"/>
      <c r="Z282" s="82"/>
      <c r="AA282" s="53"/>
      <c r="AB282" s="53"/>
      <c r="AC282" s="57"/>
      <c r="AD282" s="57"/>
      <c r="AE282" s="57"/>
      <c r="AF282" s="57"/>
      <c r="AG282" s="57"/>
      <c r="AH282" s="57"/>
      <c r="AI282" s="57"/>
      <c r="AJ282" s="57"/>
      <c r="AK282" s="57"/>
      <c r="AL282" s="57"/>
      <c r="AM282" s="57"/>
      <c r="AN282" s="57"/>
      <c r="AO282" s="57"/>
      <c r="AP282" s="57"/>
      <c r="AQ282" s="57"/>
      <c r="AR282" s="57"/>
      <c r="AS282" s="57"/>
      <c r="AT282" s="57"/>
      <c r="AU282" s="57"/>
      <c r="AV282" s="57"/>
      <c r="AW282" s="57"/>
      <c r="AX282" s="57"/>
      <c r="AY282" s="57"/>
      <c r="AZ282" s="57"/>
      <c r="BA282" s="57"/>
      <c r="BB282" s="57"/>
    </row>
    <row r="283" spans="1:54" s="58" customFormat="1" ht="252.75" customHeight="1" x14ac:dyDescent="0.4">
      <c r="A283" s="105"/>
      <c r="B283" s="155"/>
      <c r="C283" s="104"/>
      <c r="D283" s="104"/>
      <c r="E283" s="104"/>
      <c r="F283" s="89" t="s">
        <v>32</v>
      </c>
      <c r="G283" s="27">
        <f>SUM(H283:N283)</f>
        <v>601000</v>
      </c>
      <c r="H283" s="28">
        <f t="shared" ref="H283:K284" si="98">H286</f>
        <v>0</v>
      </c>
      <c r="I283" s="28">
        <f t="shared" si="98"/>
        <v>0</v>
      </c>
      <c r="J283" s="28">
        <f t="shared" si="98"/>
        <v>0</v>
      </c>
      <c r="K283" s="28">
        <f t="shared" si="98"/>
        <v>0</v>
      </c>
      <c r="L283" s="28">
        <f>L286</f>
        <v>601000</v>
      </c>
      <c r="M283" s="125">
        <f t="shared" ref="M283:P284" si="99">M286</f>
        <v>0</v>
      </c>
      <c r="N283" s="28">
        <f t="shared" si="99"/>
        <v>0</v>
      </c>
      <c r="O283" s="28">
        <f t="shared" si="99"/>
        <v>0</v>
      </c>
      <c r="P283" s="28">
        <f t="shared" si="99"/>
        <v>0</v>
      </c>
      <c r="Q283" s="53"/>
      <c r="R283" s="53"/>
      <c r="S283" s="53"/>
      <c r="T283" s="53"/>
      <c r="U283" s="53"/>
      <c r="V283" s="53"/>
      <c r="W283" s="53"/>
      <c r="X283" s="53"/>
      <c r="Y283" s="82"/>
      <c r="Z283" s="82"/>
      <c r="AA283" s="53"/>
      <c r="AB283" s="53"/>
      <c r="AC283" s="57"/>
      <c r="AD283" s="57"/>
      <c r="AE283" s="57"/>
      <c r="AF283" s="57"/>
      <c r="AG283" s="57"/>
      <c r="AH283" s="57"/>
      <c r="AI283" s="57"/>
      <c r="AJ283" s="57"/>
      <c r="AK283" s="57"/>
      <c r="AL283" s="57"/>
      <c r="AM283" s="57"/>
      <c r="AN283" s="57"/>
      <c r="AO283" s="57"/>
      <c r="AP283" s="57"/>
      <c r="AQ283" s="57"/>
      <c r="AR283" s="57"/>
      <c r="AS283" s="57"/>
      <c r="AT283" s="57"/>
      <c r="AU283" s="57"/>
      <c r="AV283" s="57"/>
      <c r="AW283" s="57"/>
      <c r="AX283" s="57"/>
      <c r="AY283" s="57"/>
      <c r="AZ283" s="57"/>
      <c r="BA283" s="57"/>
      <c r="BB283" s="57"/>
    </row>
    <row r="284" spans="1:54" s="58" customFormat="1" ht="180.75" customHeight="1" x14ac:dyDescent="0.4">
      <c r="A284" s="64"/>
      <c r="B284" s="156"/>
      <c r="C284" s="64"/>
      <c r="D284" s="64"/>
      <c r="E284" s="64"/>
      <c r="F284" s="89" t="s">
        <v>33</v>
      </c>
      <c r="G284" s="27">
        <f>SUM(H284:N284)</f>
        <v>1052671.28</v>
      </c>
      <c r="H284" s="40">
        <f t="shared" si="98"/>
        <v>0</v>
      </c>
      <c r="I284" s="40">
        <f t="shared" si="98"/>
        <v>0</v>
      </c>
      <c r="J284" s="40">
        <f t="shared" si="98"/>
        <v>0</v>
      </c>
      <c r="K284" s="40">
        <f t="shared" si="98"/>
        <v>0</v>
      </c>
      <c r="L284" s="40">
        <f>L287</f>
        <v>1052671.28</v>
      </c>
      <c r="M284" s="128">
        <f t="shared" si="99"/>
        <v>0</v>
      </c>
      <c r="N284" s="40">
        <f t="shared" si="99"/>
        <v>0</v>
      </c>
      <c r="O284" s="40">
        <f t="shared" si="99"/>
        <v>0</v>
      </c>
      <c r="P284" s="40">
        <f t="shared" si="99"/>
        <v>0</v>
      </c>
      <c r="Q284" s="53"/>
      <c r="R284" s="53"/>
      <c r="S284" s="53"/>
      <c r="T284" s="53"/>
      <c r="U284" s="53"/>
      <c r="V284" s="53"/>
      <c r="W284" s="53"/>
      <c r="X284" s="53"/>
      <c r="Y284" s="82"/>
      <c r="Z284" s="82"/>
      <c r="AA284" s="53"/>
      <c r="AB284" s="53"/>
      <c r="AC284" s="57"/>
      <c r="AD284" s="57"/>
      <c r="AE284" s="57"/>
      <c r="AF284" s="57"/>
      <c r="AG284" s="57"/>
      <c r="AH284" s="57"/>
      <c r="AI284" s="57"/>
      <c r="AJ284" s="57"/>
      <c r="AK284" s="57"/>
      <c r="AL284" s="57"/>
      <c r="AM284" s="57"/>
      <c r="AN284" s="57"/>
      <c r="AO284" s="57"/>
      <c r="AP284" s="57"/>
      <c r="AQ284" s="57"/>
      <c r="AR284" s="57"/>
      <c r="AS284" s="57"/>
      <c r="AT284" s="57"/>
      <c r="AU284" s="57"/>
      <c r="AV284" s="57"/>
      <c r="AW284" s="57"/>
      <c r="AX284" s="57"/>
      <c r="AY284" s="57"/>
      <c r="AZ284" s="57"/>
      <c r="BA284" s="57"/>
      <c r="BB284" s="57"/>
    </row>
    <row r="285" spans="1:54" s="58" customFormat="1" ht="76.5" customHeight="1" x14ac:dyDescent="0.4">
      <c r="A285" s="105"/>
      <c r="B285" s="157" t="s">
        <v>147</v>
      </c>
      <c r="C285" s="104"/>
      <c r="D285" s="104"/>
      <c r="E285" s="104"/>
      <c r="F285" s="89" t="s">
        <v>26</v>
      </c>
      <c r="G285" s="107">
        <f t="shared" ref="G285:P285" si="100">G286+G287</f>
        <v>1653671.28</v>
      </c>
      <c r="H285" s="107">
        <f t="shared" si="100"/>
        <v>0</v>
      </c>
      <c r="I285" s="107">
        <f t="shared" si="100"/>
        <v>0</v>
      </c>
      <c r="J285" s="107">
        <f t="shared" si="100"/>
        <v>0</v>
      </c>
      <c r="K285" s="107">
        <f t="shared" si="100"/>
        <v>0</v>
      </c>
      <c r="L285" s="107">
        <f t="shared" si="100"/>
        <v>1653671.28</v>
      </c>
      <c r="M285" s="132">
        <f t="shared" si="100"/>
        <v>0</v>
      </c>
      <c r="N285" s="138">
        <f t="shared" si="100"/>
        <v>0</v>
      </c>
      <c r="O285" s="138">
        <f t="shared" si="100"/>
        <v>0</v>
      </c>
      <c r="P285" s="107">
        <f t="shared" si="100"/>
        <v>0</v>
      </c>
      <c r="Q285" s="160" t="s">
        <v>148</v>
      </c>
      <c r="R285" s="163" t="s">
        <v>149</v>
      </c>
      <c r="S285" s="166">
        <v>1</v>
      </c>
      <c r="T285" s="148" t="s">
        <v>48</v>
      </c>
      <c r="U285" s="148" t="s">
        <v>48</v>
      </c>
      <c r="V285" s="148" t="s">
        <v>48</v>
      </c>
      <c r="W285" s="148" t="s">
        <v>48</v>
      </c>
      <c r="X285" s="148">
        <v>1</v>
      </c>
      <c r="Y285" s="151" t="s">
        <v>48</v>
      </c>
      <c r="Z285" s="151" t="s">
        <v>48</v>
      </c>
      <c r="AA285" s="148" t="s">
        <v>48</v>
      </c>
      <c r="AB285" s="148" t="s">
        <v>48</v>
      </c>
      <c r="AC285" s="57"/>
      <c r="AD285" s="57"/>
      <c r="AE285" s="57"/>
      <c r="AF285" s="57"/>
      <c r="AG285" s="57"/>
      <c r="AH285" s="57"/>
      <c r="AI285" s="57"/>
      <c r="AJ285" s="57"/>
      <c r="AK285" s="57"/>
      <c r="AL285" s="57"/>
      <c r="AM285" s="57"/>
      <c r="AN285" s="57"/>
      <c r="AO285" s="57"/>
      <c r="AP285" s="57"/>
      <c r="AQ285" s="57"/>
      <c r="AR285" s="57"/>
      <c r="AS285" s="57"/>
      <c r="AT285" s="57"/>
      <c r="AU285" s="57"/>
      <c r="AV285" s="57"/>
      <c r="AW285" s="57"/>
      <c r="AX285" s="57"/>
      <c r="AY285" s="57"/>
      <c r="AZ285" s="57"/>
      <c r="BA285" s="57"/>
      <c r="BB285" s="57"/>
    </row>
    <row r="286" spans="1:54" s="58" customFormat="1" ht="218.25" customHeight="1" x14ac:dyDescent="0.4">
      <c r="A286" s="105"/>
      <c r="B286" s="158"/>
      <c r="C286" s="104"/>
      <c r="D286" s="104"/>
      <c r="E286" s="104"/>
      <c r="F286" s="89" t="s">
        <v>32</v>
      </c>
      <c r="G286" s="27">
        <f>SUM(H286:N286)</f>
        <v>601000</v>
      </c>
      <c r="H286" s="28">
        <v>0</v>
      </c>
      <c r="I286" s="27">
        <v>0</v>
      </c>
      <c r="J286" s="27">
        <v>0</v>
      </c>
      <c r="K286" s="27">
        <v>0</v>
      </c>
      <c r="L286" s="27">
        <v>601000</v>
      </c>
      <c r="M286" s="125">
        <v>0</v>
      </c>
      <c r="N286" s="28">
        <v>0</v>
      </c>
      <c r="O286" s="27">
        <v>0</v>
      </c>
      <c r="P286" s="27">
        <v>0</v>
      </c>
      <c r="Q286" s="161"/>
      <c r="R286" s="164"/>
      <c r="S286" s="167"/>
      <c r="T286" s="149"/>
      <c r="U286" s="149"/>
      <c r="V286" s="149"/>
      <c r="W286" s="149"/>
      <c r="X286" s="149"/>
      <c r="Y286" s="152"/>
      <c r="Z286" s="152"/>
      <c r="AA286" s="149"/>
      <c r="AB286" s="149"/>
      <c r="AC286" s="57"/>
      <c r="AD286" s="57"/>
      <c r="AE286" s="57"/>
      <c r="AF286" s="57"/>
      <c r="AG286" s="57"/>
      <c r="AH286" s="57"/>
      <c r="AI286" s="57"/>
      <c r="AJ286" s="57"/>
      <c r="AK286" s="57"/>
      <c r="AL286" s="57"/>
      <c r="AM286" s="57"/>
      <c r="AN286" s="57"/>
      <c r="AO286" s="57"/>
      <c r="AP286" s="57"/>
      <c r="AQ286" s="57"/>
      <c r="AR286" s="57"/>
      <c r="AS286" s="57"/>
      <c r="AT286" s="57"/>
      <c r="AU286" s="57"/>
      <c r="AV286" s="57"/>
      <c r="AW286" s="57"/>
      <c r="AX286" s="57"/>
      <c r="AY286" s="57"/>
      <c r="AZ286" s="57"/>
      <c r="BA286" s="57"/>
      <c r="BB286" s="57"/>
    </row>
    <row r="287" spans="1:54" s="58" customFormat="1" ht="178.5" customHeight="1" x14ac:dyDescent="0.4">
      <c r="A287" s="105"/>
      <c r="B287" s="159"/>
      <c r="C287" s="64"/>
      <c r="D287" s="64"/>
      <c r="E287" s="64"/>
      <c r="F287" s="89" t="s">
        <v>33</v>
      </c>
      <c r="G287" s="27">
        <f>SUM(H287:N287)</f>
        <v>1052671.28</v>
      </c>
      <c r="H287" s="28">
        <v>0</v>
      </c>
      <c r="I287" s="27">
        <v>0</v>
      </c>
      <c r="J287" s="27">
        <v>0</v>
      </c>
      <c r="K287" s="27">
        <v>0</v>
      </c>
      <c r="L287" s="27">
        <v>1052671.28</v>
      </c>
      <c r="M287" s="125">
        <v>0</v>
      </c>
      <c r="N287" s="28">
        <v>0</v>
      </c>
      <c r="O287" s="27">
        <v>0</v>
      </c>
      <c r="P287" s="27">
        <v>0</v>
      </c>
      <c r="Q287" s="162"/>
      <c r="R287" s="165"/>
      <c r="S287" s="168"/>
      <c r="T287" s="150"/>
      <c r="U287" s="150"/>
      <c r="V287" s="150"/>
      <c r="W287" s="150"/>
      <c r="X287" s="150"/>
      <c r="Y287" s="153"/>
      <c r="Z287" s="153"/>
      <c r="AA287" s="150"/>
      <c r="AB287" s="150"/>
      <c r="AC287" s="57"/>
      <c r="AD287" s="57"/>
      <c r="AE287" s="57"/>
      <c r="AF287" s="57"/>
      <c r="AG287" s="57"/>
      <c r="AH287" s="57"/>
      <c r="AI287" s="57"/>
      <c r="AJ287" s="57"/>
      <c r="AK287" s="57"/>
      <c r="AL287" s="57"/>
      <c r="AM287" s="57"/>
      <c r="AN287" s="57"/>
      <c r="AO287" s="57"/>
      <c r="AP287" s="57"/>
      <c r="AQ287" s="57"/>
      <c r="AR287" s="57"/>
      <c r="AS287" s="57"/>
      <c r="AT287" s="57"/>
      <c r="AU287" s="57"/>
      <c r="AV287" s="57"/>
      <c r="AW287" s="57"/>
      <c r="AX287" s="57"/>
      <c r="AY287" s="57"/>
      <c r="AZ287" s="57"/>
      <c r="BA287" s="57"/>
      <c r="BB287" s="57"/>
    </row>
    <row r="288" spans="1:54" s="294" customFormat="1" ht="147.75" customHeight="1" x14ac:dyDescent="0.4">
      <c r="A288" s="289"/>
      <c r="B288" s="290" t="s">
        <v>150</v>
      </c>
      <c r="C288" s="289"/>
      <c r="D288" s="289"/>
      <c r="E288" s="289"/>
      <c r="F288" s="291" t="s">
        <v>26</v>
      </c>
      <c r="G288" s="292">
        <f>G289+G290</f>
        <v>1311871682.6500001</v>
      </c>
      <c r="H288" s="292">
        <f t="shared" ref="H288:L288" si="101">H289+H290</f>
        <v>101242310.34999999</v>
      </c>
      <c r="I288" s="292">
        <f t="shared" si="101"/>
        <v>118394534.73999999</v>
      </c>
      <c r="J288" s="292">
        <f t="shared" si="101"/>
        <v>120333076.19</v>
      </c>
      <c r="K288" s="292">
        <f t="shared" si="101"/>
        <v>162977321.88</v>
      </c>
      <c r="L288" s="292">
        <f t="shared" si="101"/>
        <v>152682408.81</v>
      </c>
      <c r="M288" s="293">
        <f>M289+M290</f>
        <v>166761516.94</v>
      </c>
      <c r="N288" s="292">
        <f>N289+N290</f>
        <v>196836050.81999999</v>
      </c>
      <c r="O288" s="292">
        <f t="shared" ref="O288:P288" si="102">O289+O290</f>
        <v>174829229.93000001</v>
      </c>
      <c r="P288" s="292">
        <f t="shared" si="102"/>
        <v>117815232.98999999</v>
      </c>
      <c r="AC288" s="295"/>
      <c r="AD288" s="295"/>
      <c r="AE288" s="295"/>
      <c r="AF288" s="295"/>
      <c r="AG288" s="295"/>
      <c r="AH288" s="295"/>
      <c r="AI288" s="295"/>
      <c r="AJ288" s="295"/>
      <c r="AK288" s="295"/>
      <c r="AL288" s="295"/>
      <c r="AM288" s="295"/>
      <c r="AN288" s="295"/>
      <c r="AO288" s="295"/>
      <c r="AP288" s="295"/>
      <c r="AQ288" s="295"/>
      <c r="AR288" s="295"/>
      <c r="AS288" s="295"/>
      <c r="AT288" s="295"/>
      <c r="AU288" s="295"/>
      <c r="AV288" s="295"/>
      <c r="AW288" s="295"/>
      <c r="AX288" s="295"/>
      <c r="AY288" s="295"/>
      <c r="AZ288" s="295"/>
      <c r="BA288" s="295"/>
      <c r="BB288" s="295"/>
    </row>
    <row r="289" spans="1:54" s="294" customFormat="1" ht="231" customHeight="1" x14ac:dyDescent="0.4">
      <c r="A289" s="296"/>
      <c r="B289" s="297"/>
      <c r="C289" s="296"/>
      <c r="D289" s="296"/>
      <c r="E289" s="296"/>
      <c r="F289" s="291" t="s">
        <v>32</v>
      </c>
      <c r="G289" s="298">
        <f>SUM(H289:P289)</f>
        <v>793938678.31000006</v>
      </c>
      <c r="H289" s="298">
        <f t="shared" ref="H289:J290" si="103">H25+H36+H77+H129+H175+H206+H228</f>
        <v>69428014.159999996</v>
      </c>
      <c r="I289" s="298">
        <f t="shared" si="103"/>
        <v>64373685.359999999</v>
      </c>
      <c r="J289" s="298">
        <f t="shared" si="103"/>
        <v>62569261.519999996</v>
      </c>
      <c r="K289" s="298">
        <f>K25+K36+K77+K129+K175+K206+K228+K249</f>
        <v>75442523.680000007</v>
      </c>
      <c r="L289" s="298">
        <f>L25+L36+L77+L129+L175+L206+L228+L249+L283</f>
        <v>71131733.739999995</v>
      </c>
      <c r="M289" s="125">
        <f t="shared" ref="M289:P290" si="104">M25+M36+M77+M129+M175+M206+M228</f>
        <v>96953218.549999997</v>
      </c>
      <c r="N289" s="298">
        <f t="shared" si="104"/>
        <v>116343323.38</v>
      </c>
      <c r="O289" s="298">
        <f t="shared" si="104"/>
        <v>119881684.92999999</v>
      </c>
      <c r="P289" s="298">
        <f>P25+P36+P77+P129+P175+P206+P228</f>
        <v>117815232.98999999</v>
      </c>
      <c r="AC289" s="295"/>
      <c r="AD289" s="295"/>
      <c r="AE289" s="295"/>
      <c r="AF289" s="295"/>
      <c r="AG289" s="295"/>
      <c r="AH289" s="295"/>
      <c r="AI289" s="295"/>
      <c r="AJ289" s="295"/>
      <c r="AK289" s="295"/>
      <c r="AL289" s="295"/>
      <c r="AM289" s="295"/>
      <c r="AN289" s="295"/>
      <c r="AO289" s="295"/>
      <c r="AP289" s="295"/>
      <c r="AQ289" s="295"/>
      <c r="AR289" s="295"/>
      <c r="AS289" s="295"/>
      <c r="AT289" s="295"/>
      <c r="AU289" s="295"/>
      <c r="AV289" s="295"/>
      <c r="AW289" s="295"/>
      <c r="AX289" s="295"/>
      <c r="AY289" s="295"/>
      <c r="AZ289" s="295"/>
      <c r="BA289" s="295"/>
      <c r="BB289" s="295"/>
    </row>
    <row r="290" spans="1:54" s="294" customFormat="1" ht="174" customHeight="1" x14ac:dyDescent="0.4">
      <c r="A290" s="299"/>
      <c r="B290" s="300"/>
      <c r="C290" s="299"/>
      <c r="D290" s="299"/>
      <c r="E290" s="299"/>
      <c r="F290" s="291" t="s">
        <v>33</v>
      </c>
      <c r="G290" s="298">
        <f>SUM(H290:P290)</f>
        <v>517933004.33999997</v>
      </c>
      <c r="H290" s="298">
        <f t="shared" si="103"/>
        <v>31814296.189999998</v>
      </c>
      <c r="I290" s="298">
        <f t="shared" si="103"/>
        <v>54020849.379999995</v>
      </c>
      <c r="J290" s="298">
        <f t="shared" si="103"/>
        <v>57763814.669999994</v>
      </c>
      <c r="K290" s="298">
        <f>K26+K37+K78+K130+K176+K207+K229+K250</f>
        <v>87534798.200000003</v>
      </c>
      <c r="L290" s="298">
        <f>L26+L37+L78+L130+L176+L207+L229+L250+L284</f>
        <v>81550675.070000008</v>
      </c>
      <c r="M290" s="125">
        <f t="shared" si="104"/>
        <v>69808298.390000001</v>
      </c>
      <c r="N290" s="298">
        <f t="shared" si="104"/>
        <v>80492727.439999998</v>
      </c>
      <c r="O290" s="298">
        <f t="shared" si="104"/>
        <v>54947545</v>
      </c>
      <c r="P290" s="298">
        <f t="shared" si="104"/>
        <v>0</v>
      </c>
      <c r="AC290" s="295"/>
      <c r="AD290" s="295"/>
      <c r="AE290" s="295"/>
      <c r="AF290" s="295"/>
      <c r="AG290" s="295"/>
      <c r="AH290" s="295"/>
      <c r="AI290" s="295"/>
      <c r="AJ290" s="295"/>
      <c r="AK290" s="295"/>
      <c r="AL290" s="295"/>
      <c r="AM290" s="295"/>
      <c r="AN290" s="295"/>
      <c r="AO290" s="295"/>
      <c r="AP290" s="295"/>
      <c r="AQ290" s="295"/>
      <c r="AR290" s="295"/>
      <c r="AS290" s="295"/>
      <c r="AT290" s="295"/>
      <c r="AU290" s="295"/>
      <c r="AV290" s="295"/>
      <c r="AW290" s="295"/>
      <c r="AX290" s="295"/>
      <c r="AY290" s="295"/>
      <c r="AZ290" s="295"/>
      <c r="BA290" s="295"/>
      <c r="BB290" s="295"/>
    </row>
    <row r="291" spans="1:54" s="58" customFormat="1" ht="28.5" customHeight="1" x14ac:dyDescent="0.4">
      <c r="B291" s="69"/>
      <c r="C291" s="70"/>
      <c r="D291" s="70"/>
      <c r="F291" s="69"/>
      <c r="G291" s="71"/>
      <c r="H291" s="72"/>
      <c r="I291" s="72"/>
      <c r="J291" s="71"/>
      <c r="K291" s="72"/>
      <c r="L291" s="72"/>
      <c r="M291" s="133"/>
      <c r="N291" s="72"/>
      <c r="O291" s="72"/>
      <c r="P291" s="72"/>
      <c r="Y291" s="22"/>
      <c r="Z291" s="22"/>
      <c r="AC291" s="57"/>
      <c r="AD291" s="57"/>
      <c r="AE291" s="57"/>
      <c r="AF291" s="57"/>
      <c r="AG291" s="57"/>
      <c r="AH291" s="57"/>
      <c r="AI291" s="57"/>
      <c r="AJ291" s="57"/>
      <c r="AK291" s="57"/>
      <c r="AL291" s="57"/>
      <c r="AM291" s="57"/>
      <c r="AN291" s="57"/>
      <c r="AO291" s="57"/>
      <c r="AP291" s="57"/>
      <c r="AQ291" s="57"/>
      <c r="AR291" s="57"/>
      <c r="AS291" s="57"/>
      <c r="AT291" s="57"/>
      <c r="AU291" s="57"/>
      <c r="AV291" s="57"/>
      <c r="AW291" s="57"/>
      <c r="AX291" s="57"/>
      <c r="AY291" s="57"/>
      <c r="AZ291" s="57"/>
      <c r="BA291" s="57"/>
      <c r="BB291" s="57"/>
    </row>
    <row r="292" spans="1:54" s="58" customFormat="1" ht="24" customHeight="1" x14ac:dyDescent="0.4">
      <c r="C292" s="70"/>
      <c r="D292" s="70"/>
      <c r="F292" s="69"/>
      <c r="G292" s="71"/>
      <c r="H292" s="72"/>
      <c r="I292" s="72"/>
      <c r="J292" s="71"/>
      <c r="K292" s="72"/>
      <c r="L292" s="72"/>
      <c r="M292" s="133"/>
      <c r="N292" s="72"/>
      <c r="O292" s="72"/>
      <c r="P292" s="72"/>
      <c r="Y292" s="22"/>
      <c r="Z292" s="22"/>
      <c r="AC292" s="57"/>
      <c r="AD292" s="57"/>
      <c r="AE292" s="57"/>
      <c r="AF292" s="57"/>
      <c r="AG292" s="57"/>
      <c r="AH292" s="57"/>
      <c r="AI292" s="57"/>
      <c r="AJ292" s="57"/>
      <c r="AK292" s="57"/>
      <c r="AL292" s="57"/>
      <c r="AM292" s="57"/>
      <c r="AN292" s="57"/>
      <c r="AO292" s="57"/>
      <c r="AP292" s="57"/>
      <c r="AQ292" s="57"/>
      <c r="AR292" s="57"/>
      <c r="AS292" s="57"/>
      <c r="AT292" s="57"/>
      <c r="AU292" s="57"/>
      <c r="AV292" s="57"/>
      <c r="AW292" s="57"/>
      <c r="AX292" s="57"/>
      <c r="AY292" s="57"/>
      <c r="AZ292" s="57"/>
      <c r="BA292" s="57"/>
      <c r="BB292" s="57"/>
    </row>
    <row r="293" spans="1:54" s="71" customFormat="1" ht="30" customHeight="1" x14ac:dyDescent="0.4">
      <c r="A293" s="58"/>
      <c r="B293" s="73"/>
      <c r="C293" s="70"/>
      <c r="D293" s="70"/>
      <c r="E293" s="58"/>
      <c r="F293" s="69"/>
      <c r="H293" s="72"/>
      <c r="I293" s="72"/>
      <c r="K293" s="72"/>
      <c r="L293" s="72"/>
      <c r="M293" s="133"/>
      <c r="N293" s="72"/>
      <c r="O293" s="72"/>
      <c r="P293" s="72"/>
      <c r="Q293" s="58"/>
      <c r="R293" s="58"/>
      <c r="S293" s="58"/>
      <c r="T293" s="58"/>
      <c r="U293" s="58"/>
      <c r="V293" s="58"/>
      <c r="W293" s="58"/>
      <c r="X293" s="58"/>
      <c r="Y293" s="22"/>
      <c r="Z293" s="22"/>
      <c r="AA293" s="58"/>
      <c r="AB293" s="58"/>
      <c r="AC293" s="57"/>
      <c r="AD293" s="57"/>
      <c r="AE293" s="57"/>
      <c r="AF293" s="57"/>
      <c r="AG293" s="57"/>
      <c r="AH293" s="57"/>
      <c r="AI293" s="57"/>
      <c r="AJ293" s="57"/>
      <c r="AK293" s="57"/>
      <c r="AL293" s="57"/>
      <c r="AM293" s="57"/>
      <c r="AN293" s="57"/>
      <c r="AO293" s="57"/>
      <c r="AP293" s="57"/>
      <c r="AQ293" s="57"/>
      <c r="AR293" s="57"/>
      <c r="AS293" s="57"/>
      <c r="AT293" s="57"/>
      <c r="AU293" s="57"/>
      <c r="AV293" s="57"/>
      <c r="AW293" s="57"/>
      <c r="AX293" s="57"/>
      <c r="AY293" s="57"/>
      <c r="AZ293" s="57"/>
      <c r="BA293" s="57"/>
      <c r="BB293" s="57"/>
    </row>
    <row r="294" spans="1:54" ht="57" customHeight="1" x14ac:dyDescent="0.35">
      <c r="A294" s="74"/>
      <c r="B294" s="75"/>
      <c r="C294" s="76"/>
      <c r="D294" s="76"/>
      <c r="E294" s="74"/>
      <c r="F294" s="75"/>
      <c r="G294" s="77"/>
      <c r="H294" s="78"/>
      <c r="I294" s="78"/>
      <c r="J294" s="79"/>
      <c r="K294" s="78"/>
      <c r="L294" s="78"/>
      <c r="M294" s="134"/>
      <c r="N294" s="78"/>
      <c r="O294" s="78"/>
      <c r="P294" s="78"/>
      <c r="Q294" s="74"/>
      <c r="R294" s="74"/>
      <c r="S294" s="74"/>
      <c r="T294" s="74"/>
      <c r="U294" s="74"/>
      <c r="V294" s="74"/>
      <c r="W294" s="74"/>
      <c r="X294" s="74"/>
      <c r="Y294" s="83"/>
      <c r="Z294" s="83"/>
      <c r="AA294" s="74"/>
      <c r="AB294" s="74"/>
    </row>
    <row r="295" spans="1:54" ht="57" customHeight="1" x14ac:dyDescent="0.35">
      <c r="G295" s="80"/>
    </row>
    <row r="296" spans="1:54" ht="57" customHeight="1" x14ac:dyDescent="0.35"/>
    <row r="297" spans="1:54" ht="57" customHeight="1" x14ac:dyDescent="0.35"/>
  </sheetData>
  <mergeCells count="1162">
    <mergeCell ref="AA134:AA136"/>
    <mergeCell ref="AA149:AA151"/>
    <mergeCell ref="C18:C19"/>
    <mergeCell ref="D18:D19"/>
    <mergeCell ref="H18:H19"/>
    <mergeCell ref="I18:I19"/>
    <mergeCell ref="J18:J19"/>
    <mergeCell ref="K18:K19"/>
    <mergeCell ref="F15:F19"/>
    <mergeCell ref="G15:N15"/>
    <mergeCell ref="Q15:Q19"/>
    <mergeCell ref="S15:AB15"/>
    <mergeCell ref="G16:G19"/>
    <mergeCell ref="H16:N16"/>
    <mergeCell ref="S16:S19"/>
    <mergeCell ref="T16:AB17"/>
    <mergeCell ref="H17:N17"/>
    <mergeCell ref="L18:L19"/>
    <mergeCell ref="AA38:AA41"/>
    <mergeCell ref="AB38:AB41"/>
    <mergeCell ref="R58:R59"/>
    <mergeCell ref="S58:S59"/>
    <mergeCell ref="T58:T59"/>
    <mergeCell ref="U58:U59"/>
    <mergeCell ref="R63:R65"/>
    <mergeCell ref="W60:W62"/>
    <mergeCell ref="X60:X62"/>
    <mergeCell ref="Y60:Y62"/>
    <mergeCell ref="Z60:Z62"/>
    <mergeCell ref="AA60:AA62"/>
    <mergeCell ref="AB60:AB62"/>
    <mergeCell ref="Q60:Q62"/>
    <mergeCell ref="A9:Z9"/>
    <mergeCell ref="A10:Z10"/>
    <mergeCell ref="A12:A19"/>
    <mergeCell ref="B12:B19"/>
    <mergeCell ref="C12:D17"/>
    <mergeCell ref="E12:E19"/>
    <mergeCell ref="F12:P14"/>
    <mergeCell ref="Q12:AB12"/>
    <mergeCell ref="Q13:AB13"/>
    <mergeCell ref="Q14:AB14"/>
    <mergeCell ref="AB18:AB19"/>
    <mergeCell ref="Q21:Q22"/>
    <mergeCell ref="R21:R22"/>
    <mergeCell ref="S21:S22"/>
    <mergeCell ref="T21:T22"/>
    <mergeCell ref="U21:U22"/>
    <mergeCell ref="V21:V22"/>
    <mergeCell ref="W21:W22"/>
    <mergeCell ref="X21:X22"/>
    <mergeCell ref="Y21:Y22"/>
    <mergeCell ref="V18:V19"/>
    <mergeCell ref="W18:W19"/>
    <mergeCell ref="X18:X19"/>
    <mergeCell ref="Y18:Y19"/>
    <mergeCell ref="Z18:Z19"/>
    <mergeCell ref="AA18:AA19"/>
    <mergeCell ref="M18:M19"/>
    <mergeCell ref="N18:N19"/>
    <mergeCell ref="O18:O19"/>
    <mergeCell ref="P18:P19"/>
    <mergeCell ref="T18:T19"/>
    <mergeCell ref="U18:U19"/>
    <mergeCell ref="AW21:AX22"/>
    <mergeCell ref="AY21:AZ22"/>
    <mergeCell ref="BA21:BB22"/>
    <mergeCell ref="A24:A26"/>
    <mergeCell ref="B24:B26"/>
    <mergeCell ref="C24:C26"/>
    <mergeCell ref="D24:D26"/>
    <mergeCell ref="E24:E26"/>
    <mergeCell ref="Q24:Q26"/>
    <mergeCell ref="AI21:AJ22"/>
    <mergeCell ref="AK21:AL22"/>
    <mergeCell ref="AM21:AN22"/>
    <mergeCell ref="AO21:AP22"/>
    <mergeCell ref="AQ21:AR22"/>
    <mergeCell ref="AS21:AT22"/>
    <mergeCell ref="Z21:Z22"/>
    <mergeCell ref="AA21:AA22"/>
    <mergeCell ref="AB21:AB22"/>
    <mergeCell ref="AC21:AD22"/>
    <mergeCell ref="AE21:AF22"/>
    <mergeCell ref="AG21:AH22"/>
    <mergeCell ref="X24:X26"/>
    <mergeCell ref="Y24:Y26"/>
    <mergeCell ref="Z24:Z26"/>
    <mergeCell ref="AA24:AA26"/>
    <mergeCell ref="AB24:AB26"/>
    <mergeCell ref="A27:A29"/>
    <mergeCell ref="B27:B29"/>
    <mergeCell ref="C27:C29"/>
    <mergeCell ref="D27:D29"/>
    <mergeCell ref="E27:E29"/>
    <mergeCell ref="R24:R26"/>
    <mergeCell ref="S24:S26"/>
    <mergeCell ref="T24:T26"/>
    <mergeCell ref="U24:U26"/>
    <mergeCell ref="V24:V26"/>
    <mergeCell ref="W24:W26"/>
    <mergeCell ref="AU21:AV22"/>
    <mergeCell ref="A30:A32"/>
    <mergeCell ref="B30:B32"/>
    <mergeCell ref="C30:C32"/>
    <mergeCell ref="D30:D32"/>
    <mergeCell ref="E30:E32"/>
    <mergeCell ref="Q30:Q32"/>
    <mergeCell ref="W27:W29"/>
    <mergeCell ref="X27:X29"/>
    <mergeCell ref="Y27:Y29"/>
    <mergeCell ref="Z27:Z29"/>
    <mergeCell ref="AA27:AA29"/>
    <mergeCell ref="AB27:AB29"/>
    <mergeCell ref="Q27:Q29"/>
    <mergeCell ref="R27:R29"/>
    <mergeCell ref="S27:S29"/>
    <mergeCell ref="T27:T29"/>
    <mergeCell ref="U27:U29"/>
    <mergeCell ref="V27:V29"/>
    <mergeCell ref="AY33:AZ33"/>
    <mergeCell ref="BA33:BB33"/>
    <mergeCell ref="A34:A37"/>
    <mergeCell ref="B34:B37"/>
    <mergeCell ref="C34:C37"/>
    <mergeCell ref="D34:D37"/>
    <mergeCell ref="F34:F35"/>
    <mergeCell ref="G34:G35"/>
    <mergeCell ref="H34:H35"/>
    <mergeCell ref="I34:I35"/>
    <mergeCell ref="AM33:AN33"/>
    <mergeCell ref="AO33:AP33"/>
    <mergeCell ref="AQ33:AR33"/>
    <mergeCell ref="AS33:AT33"/>
    <mergeCell ref="AU33:AV33"/>
    <mergeCell ref="AW33:AX33"/>
    <mergeCell ref="E33:E37"/>
    <mergeCell ref="AC33:AD33"/>
    <mergeCell ref="AE33:AF33"/>
    <mergeCell ref="AG33:AH33"/>
    <mergeCell ref="AI33:AJ33"/>
    <mergeCell ref="AK33:AL33"/>
    <mergeCell ref="J34:J35"/>
    <mergeCell ref="K34:K35"/>
    <mergeCell ref="L34:L35"/>
    <mergeCell ref="M34:M35"/>
    <mergeCell ref="Z34:Z37"/>
    <mergeCell ref="AA34:AA37"/>
    <mergeCell ref="AB34:AB37"/>
    <mergeCell ref="A38:A41"/>
    <mergeCell ref="B38:B41"/>
    <mergeCell ref="C38:C41"/>
    <mergeCell ref="D38:D41"/>
    <mergeCell ref="E38:E41"/>
    <mergeCell ref="F38:F39"/>
    <mergeCell ref="G38:G39"/>
    <mergeCell ref="T34:T37"/>
    <mergeCell ref="U34:U37"/>
    <mergeCell ref="V34:V37"/>
    <mergeCell ref="W34:W37"/>
    <mergeCell ref="X34:X37"/>
    <mergeCell ref="Y34:Y37"/>
    <mergeCell ref="N34:N35"/>
    <mergeCell ref="O34:O35"/>
    <mergeCell ref="P34:P35"/>
    <mergeCell ref="Q34:Q37"/>
    <mergeCell ref="R34:R37"/>
    <mergeCell ref="S34:S37"/>
    <mergeCell ref="D42:D45"/>
    <mergeCell ref="E42:E45"/>
    <mergeCell ref="F42:F43"/>
    <mergeCell ref="G42:G43"/>
    <mergeCell ref="H42:H43"/>
    <mergeCell ref="U38:U41"/>
    <mergeCell ref="V38:V41"/>
    <mergeCell ref="W38:W41"/>
    <mergeCell ref="X38:X41"/>
    <mergeCell ref="Y38:Y41"/>
    <mergeCell ref="Z38:Z41"/>
    <mergeCell ref="N38:N39"/>
    <mergeCell ref="P38:P39"/>
    <mergeCell ref="Q38:Q41"/>
    <mergeCell ref="R38:R41"/>
    <mergeCell ref="S38:S41"/>
    <mergeCell ref="T38:T41"/>
    <mergeCell ref="H38:H39"/>
    <mergeCell ref="I38:I39"/>
    <mergeCell ref="J38:J39"/>
    <mergeCell ref="K38:K39"/>
    <mergeCell ref="L38:L39"/>
    <mergeCell ref="M38:M39"/>
    <mergeCell ref="B46:B48"/>
    <mergeCell ref="Q46:Q48"/>
    <mergeCell ref="A49:A52"/>
    <mergeCell ref="B49:B52"/>
    <mergeCell ref="C49:C52"/>
    <mergeCell ref="D49:D52"/>
    <mergeCell ref="E49:E52"/>
    <mergeCell ref="F49:F50"/>
    <mergeCell ref="G49:G50"/>
    <mergeCell ref="H49:H50"/>
    <mergeCell ref="W44:W45"/>
    <mergeCell ref="X44:X45"/>
    <mergeCell ref="Y44:Y45"/>
    <mergeCell ref="Z44:Z45"/>
    <mergeCell ref="AA44:AA45"/>
    <mergeCell ref="AB44:AB45"/>
    <mergeCell ref="P42:P43"/>
    <mergeCell ref="Q44:Q45"/>
    <mergeCell ref="R44:R45"/>
    <mergeCell ref="T44:T45"/>
    <mergeCell ref="U44:U45"/>
    <mergeCell ref="V44:V45"/>
    <mergeCell ref="I42:I43"/>
    <mergeCell ref="J42:J43"/>
    <mergeCell ref="K42:K43"/>
    <mergeCell ref="L42:L43"/>
    <mergeCell ref="M42:M43"/>
    <mergeCell ref="N42:N43"/>
    <mergeCell ref="AB49:AB52"/>
    <mergeCell ref="A42:A45"/>
    <mergeCell ref="B42:B45"/>
    <mergeCell ref="C42:C45"/>
    <mergeCell ref="B53:B56"/>
    <mergeCell ref="C53:C56"/>
    <mergeCell ref="D53:D56"/>
    <mergeCell ref="E53:E56"/>
    <mergeCell ref="F53:F54"/>
    <mergeCell ref="G53:G54"/>
    <mergeCell ref="H53:H54"/>
    <mergeCell ref="I53:I54"/>
    <mergeCell ref="V49:V52"/>
    <mergeCell ref="W49:W52"/>
    <mergeCell ref="X49:X52"/>
    <mergeCell ref="Y49:Y52"/>
    <mergeCell ref="Z49:Z52"/>
    <mergeCell ref="AA49:AA52"/>
    <mergeCell ref="P49:P50"/>
    <mergeCell ref="Q49:Q52"/>
    <mergeCell ref="R49:R52"/>
    <mergeCell ref="S49:S52"/>
    <mergeCell ref="T49:T52"/>
    <mergeCell ref="U49:U52"/>
    <mergeCell ref="I49:I50"/>
    <mergeCell ref="J49:J50"/>
    <mergeCell ref="K49:K50"/>
    <mergeCell ref="L49:L50"/>
    <mergeCell ref="M49:M50"/>
    <mergeCell ref="N49:N50"/>
    <mergeCell ref="A57:A59"/>
    <mergeCell ref="B57:B59"/>
    <mergeCell ref="C57:C59"/>
    <mergeCell ref="D57:D59"/>
    <mergeCell ref="E57:E59"/>
    <mergeCell ref="Q58:Q59"/>
    <mergeCell ref="W53:W56"/>
    <mergeCell ref="X53:X56"/>
    <mergeCell ref="Y53:Y56"/>
    <mergeCell ref="Z53:Z56"/>
    <mergeCell ref="AA53:AA56"/>
    <mergeCell ref="AB53:AB56"/>
    <mergeCell ref="Q53:Q56"/>
    <mergeCell ref="R53:R56"/>
    <mergeCell ref="S53:S56"/>
    <mergeCell ref="T53:T56"/>
    <mergeCell ref="U53:U56"/>
    <mergeCell ref="V53:V56"/>
    <mergeCell ref="J53:J54"/>
    <mergeCell ref="K53:K54"/>
    <mergeCell ref="L53:L54"/>
    <mergeCell ref="M53:M54"/>
    <mergeCell ref="N53:N54"/>
    <mergeCell ref="P53:P54"/>
    <mergeCell ref="AB58:AB59"/>
    <mergeCell ref="V58:V59"/>
    <mergeCell ref="W58:W59"/>
    <mergeCell ref="X58:X59"/>
    <mergeCell ref="Y58:Y59"/>
    <mergeCell ref="Z58:Z59"/>
    <mergeCell ref="AA58:AA59"/>
    <mergeCell ref="A53:A56"/>
    <mergeCell ref="R60:R62"/>
    <mergeCell ref="S60:S62"/>
    <mergeCell ref="T60:T62"/>
    <mergeCell ref="U60:U62"/>
    <mergeCell ref="V60:V62"/>
    <mergeCell ref="A60:A62"/>
    <mergeCell ref="B60:B62"/>
    <mergeCell ref="C60:C62"/>
    <mergeCell ref="D60:D62"/>
    <mergeCell ref="E60:E62"/>
    <mergeCell ref="A69:A71"/>
    <mergeCell ref="B69:B71"/>
    <mergeCell ref="C69:C71"/>
    <mergeCell ref="D69:D71"/>
    <mergeCell ref="E69:E71"/>
    <mergeCell ref="R66:R68"/>
    <mergeCell ref="S66:S68"/>
    <mergeCell ref="T66:T68"/>
    <mergeCell ref="U66:U68"/>
    <mergeCell ref="V66:V68"/>
    <mergeCell ref="Y63:Y65"/>
    <mergeCell ref="Z63:Z65"/>
    <mergeCell ref="AA63:AA65"/>
    <mergeCell ref="AB63:AB65"/>
    <mergeCell ref="A66:A68"/>
    <mergeCell ref="B66:B68"/>
    <mergeCell ref="C66:C68"/>
    <mergeCell ref="D66:D68"/>
    <mergeCell ref="E66:E68"/>
    <mergeCell ref="Q66:Q68"/>
    <mergeCell ref="S63:S65"/>
    <mergeCell ref="T63:T65"/>
    <mergeCell ref="U63:U65"/>
    <mergeCell ref="V63:V65"/>
    <mergeCell ref="W63:W65"/>
    <mergeCell ref="X63:X65"/>
    <mergeCell ref="B63:B65"/>
    <mergeCell ref="C63:C65"/>
    <mergeCell ref="D63:D65"/>
    <mergeCell ref="E63:E65"/>
    <mergeCell ref="Q63:Q65"/>
    <mergeCell ref="W69:W71"/>
    <mergeCell ref="X69:X71"/>
    <mergeCell ref="Y69:Y71"/>
    <mergeCell ref="Z69:Z71"/>
    <mergeCell ref="AA69:AA71"/>
    <mergeCell ref="AB69:AB71"/>
    <mergeCell ref="Q69:Q71"/>
    <mergeCell ref="R69:R71"/>
    <mergeCell ref="S69:S71"/>
    <mergeCell ref="T69:T71"/>
    <mergeCell ref="U69:U71"/>
    <mergeCell ref="V69:V71"/>
    <mergeCell ref="X66:X68"/>
    <mergeCell ref="Y66:Y68"/>
    <mergeCell ref="Z66:Z68"/>
    <mergeCell ref="AA66:AA68"/>
    <mergeCell ref="AB66:AB68"/>
    <mergeCell ref="W66:W68"/>
    <mergeCell ref="E79:E81"/>
    <mergeCell ref="R79:R81"/>
    <mergeCell ref="W76:W78"/>
    <mergeCell ref="X76:X78"/>
    <mergeCell ref="Y76:Y78"/>
    <mergeCell ref="Z76:Z78"/>
    <mergeCell ref="AA76:AA78"/>
    <mergeCell ref="AB76:AB78"/>
    <mergeCell ref="Q76:Q78"/>
    <mergeCell ref="R76:R78"/>
    <mergeCell ref="S76:S78"/>
    <mergeCell ref="T76:T78"/>
    <mergeCell ref="U76:U78"/>
    <mergeCell ref="V76:V78"/>
    <mergeCell ref="B72:B74"/>
    <mergeCell ref="A76:A78"/>
    <mergeCell ref="B76:B78"/>
    <mergeCell ref="C76:C78"/>
    <mergeCell ref="D76:D78"/>
    <mergeCell ref="E76:E78"/>
    <mergeCell ref="N82:N83"/>
    <mergeCell ref="P82:P83"/>
    <mergeCell ref="Q82:Q85"/>
    <mergeCell ref="R82:R85"/>
    <mergeCell ref="S82:S85"/>
    <mergeCell ref="T82:T85"/>
    <mergeCell ref="H82:H83"/>
    <mergeCell ref="I82:I83"/>
    <mergeCell ref="J82:J83"/>
    <mergeCell ref="K82:K83"/>
    <mergeCell ref="L82:L83"/>
    <mergeCell ref="M82:M83"/>
    <mergeCell ref="Y79:Y81"/>
    <mergeCell ref="Z79:Z81"/>
    <mergeCell ref="AB79:AB81"/>
    <mergeCell ref="A82:A85"/>
    <mergeCell ref="B82:B85"/>
    <mergeCell ref="C82:C85"/>
    <mergeCell ref="D82:D85"/>
    <mergeCell ref="E82:E85"/>
    <mergeCell ref="F82:F83"/>
    <mergeCell ref="G82:G83"/>
    <mergeCell ref="S79:S81"/>
    <mergeCell ref="T79:T81"/>
    <mergeCell ref="U79:U81"/>
    <mergeCell ref="V79:V81"/>
    <mergeCell ref="W79:W81"/>
    <mergeCell ref="X79:X81"/>
    <mergeCell ref="A79:A81"/>
    <mergeCell ref="B79:B81"/>
    <mergeCell ref="C79:C81"/>
    <mergeCell ref="D79:D81"/>
    <mergeCell ref="Z86:Z88"/>
    <mergeCell ref="AA86:AA88"/>
    <mergeCell ref="AB86:AB88"/>
    <mergeCell ref="A89:A91"/>
    <mergeCell ref="B89:B91"/>
    <mergeCell ref="C89:C91"/>
    <mergeCell ref="D89:D91"/>
    <mergeCell ref="E89:E91"/>
    <mergeCell ref="Q89:Q91"/>
    <mergeCell ref="R89:R91"/>
    <mergeCell ref="T86:T88"/>
    <mergeCell ref="U86:U88"/>
    <mergeCell ref="V86:V88"/>
    <mergeCell ref="W86:W88"/>
    <mergeCell ref="X86:X88"/>
    <mergeCell ref="Y86:Y88"/>
    <mergeCell ref="AA82:AA85"/>
    <mergeCell ref="AB82:AB85"/>
    <mergeCell ref="A86:A88"/>
    <mergeCell ref="B86:B88"/>
    <mergeCell ref="C86:C88"/>
    <mergeCell ref="D86:D88"/>
    <mergeCell ref="E86:E88"/>
    <mergeCell ref="Q86:Q88"/>
    <mergeCell ref="R86:R88"/>
    <mergeCell ref="S86:S88"/>
    <mergeCell ref="U82:U85"/>
    <mergeCell ref="V82:V85"/>
    <mergeCell ref="W82:W85"/>
    <mergeCell ref="X82:X85"/>
    <mergeCell ref="Y82:Y85"/>
    <mergeCell ref="Z82:Z85"/>
    <mergeCell ref="X92:X94"/>
    <mergeCell ref="Y92:Y94"/>
    <mergeCell ref="Z92:Z94"/>
    <mergeCell ref="AA92:AA94"/>
    <mergeCell ref="AB92:AB94"/>
    <mergeCell ref="A95:A98"/>
    <mergeCell ref="B95:B98"/>
    <mergeCell ref="C95:C98"/>
    <mergeCell ref="D95:D98"/>
    <mergeCell ref="E95:E98"/>
    <mergeCell ref="R92:R94"/>
    <mergeCell ref="S92:S94"/>
    <mergeCell ref="T92:T94"/>
    <mergeCell ref="U92:U94"/>
    <mergeCell ref="V92:V94"/>
    <mergeCell ref="W92:W94"/>
    <mergeCell ref="Y89:Y91"/>
    <mergeCell ref="Z89:Z91"/>
    <mergeCell ref="AA89:AA91"/>
    <mergeCell ref="AB89:AB91"/>
    <mergeCell ref="A92:A94"/>
    <mergeCell ref="B92:B94"/>
    <mergeCell ref="C92:C94"/>
    <mergeCell ref="D92:D94"/>
    <mergeCell ref="E92:E94"/>
    <mergeCell ref="Q92:Q94"/>
    <mergeCell ref="S89:S91"/>
    <mergeCell ref="T89:T91"/>
    <mergeCell ref="U89:U91"/>
    <mergeCell ref="V89:V91"/>
    <mergeCell ref="W89:W91"/>
    <mergeCell ref="X89:X91"/>
    <mergeCell ref="AB99:AB101"/>
    <mergeCell ref="A102:A104"/>
    <mergeCell ref="B102:B104"/>
    <mergeCell ref="C102:C104"/>
    <mergeCell ref="D102:D104"/>
    <mergeCell ref="E102:E104"/>
    <mergeCell ref="V99:V101"/>
    <mergeCell ref="W99:W101"/>
    <mergeCell ref="X99:X101"/>
    <mergeCell ref="Y99:Y101"/>
    <mergeCell ref="Z99:Z101"/>
    <mergeCell ref="AA99:AA101"/>
    <mergeCell ref="B99:B101"/>
    <mergeCell ref="Q99:Q101"/>
    <mergeCell ref="R99:R101"/>
    <mergeCell ref="S99:S101"/>
    <mergeCell ref="T99:T101"/>
    <mergeCell ref="U99:U101"/>
    <mergeCell ref="Y112:Y113"/>
    <mergeCell ref="Z112:Z113"/>
    <mergeCell ref="AA112:AA113"/>
    <mergeCell ref="AB112:AB113"/>
    <mergeCell ref="A114:A117"/>
    <mergeCell ref="B114:B117"/>
    <mergeCell ref="C114:C115"/>
    <mergeCell ref="D114:D115"/>
    <mergeCell ref="E114:E115"/>
    <mergeCell ref="F114:F115"/>
    <mergeCell ref="S112:S113"/>
    <mergeCell ref="T112:T113"/>
    <mergeCell ref="U112:U113"/>
    <mergeCell ref="V112:V113"/>
    <mergeCell ref="W112:W113"/>
    <mergeCell ref="X112:X113"/>
    <mergeCell ref="B105:B107"/>
    <mergeCell ref="B108:B110"/>
    <mergeCell ref="A111:A113"/>
    <mergeCell ref="B111:B113"/>
    <mergeCell ref="Q112:Q113"/>
    <mergeCell ref="R112:R113"/>
    <mergeCell ref="E128:E130"/>
    <mergeCell ref="Q128:Q130"/>
    <mergeCell ref="R128:R130"/>
    <mergeCell ref="S128:S130"/>
    <mergeCell ref="T128:T130"/>
    <mergeCell ref="U128:U130"/>
    <mergeCell ref="A124:A126"/>
    <mergeCell ref="B124:B126"/>
    <mergeCell ref="A128:A130"/>
    <mergeCell ref="B128:B130"/>
    <mergeCell ref="C128:C130"/>
    <mergeCell ref="D128:D130"/>
    <mergeCell ref="M114:M115"/>
    <mergeCell ref="N114:N115"/>
    <mergeCell ref="P114:P115"/>
    <mergeCell ref="A118:A120"/>
    <mergeCell ref="B118:B120"/>
    <mergeCell ref="A121:A123"/>
    <mergeCell ref="B121:B123"/>
    <mergeCell ref="G114:G115"/>
    <mergeCell ref="H114:H115"/>
    <mergeCell ref="I114:I115"/>
    <mergeCell ref="J114:J115"/>
    <mergeCell ref="K114:K115"/>
    <mergeCell ref="L114:L115"/>
    <mergeCell ref="AA131:AA133"/>
    <mergeCell ref="AB131:AB133"/>
    <mergeCell ref="A134:A136"/>
    <mergeCell ref="B134:B136"/>
    <mergeCell ref="C134:C136"/>
    <mergeCell ref="D134:D136"/>
    <mergeCell ref="E134:E136"/>
    <mergeCell ref="Q134:Q136"/>
    <mergeCell ref="R134:R136"/>
    <mergeCell ref="S134:S136"/>
    <mergeCell ref="U131:U133"/>
    <mergeCell ref="V131:V133"/>
    <mergeCell ref="W131:W133"/>
    <mergeCell ref="X131:X133"/>
    <mergeCell ref="Y131:Y133"/>
    <mergeCell ref="Z131:Z133"/>
    <mergeCell ref="AB128:AB130"/>
    <mergeCell ref="A131:A133"/>
    <mergeCell ref="B131:B133"/>
    <mergeCell ref="C131:C133"/>
    <mergeCell ref="D131:D133"/>
    <mergeCell ref="E131:E133"/>
    <mergeCell ref="Q131:Q133"/>
    <mergeCell ref="R131:R133"/>
    <mergeCell ref="S131:S133"/>
    <mergeCell ref="T131:T133"/>
    <mergeCell ref="V128:V130"/>
    <mergeCell ref="W128:W130"/>
    <mergeCell ref="X128:X130"/>
    <mergeCell ref="Y128:Y130"/>
    <mergeCell ref="Z128:Z130"/>
    <mergeCell ref="AA128:AA130"/>
    <mergeCell ref="Z137:Z139"/>
    <mergeCell ref="AA137:AA139"/>
    <mergeCell ref="AB137:AB139"/>
    <mergeCell ref="A140:A142"/>
    <mergeCell ref="B140:B142"/>
    <mergeCell ref="C140:C142"/>
    <mergeCell ref="D140:D142"/>
    <mergeCell ref="E140:E142"/>
    <mergeCell ref="Q140:Q142"/>
    <mergeCell ref="R140:R142"/>
    <mergeCell ref="T137:T139"/>
    <mergeCell ref="U137:U139"/>
    <mergeCell ref="V137:V139"/>
    <mergeCell ref="W137:W139"/>
    <mergeCell ref="X137:X139"/>
    <mergeCell ref="Y137:Y139"/>
    <mergeCell ref="Z134:Z136"/>
    <mergeCell ref="AB134:AB136"/>
    <mergeCell ref="A137:A139"/>
    <mergeCell ref="B137:B139"/>
    <mergeCell ref="C137:C139"/>
    <mergeCell ref="D137:D139"/>
    <mergeCell ref="E137:E139"/>
    <mergeCell ref="Q137:Q139"/>
    <mergeCell ref="R137:R139"/>
    <mergeCell ref="S137:S139"/>
    <mergeCell ref="T134:T136"/>
    <mergeCell ref="U134:U136"/>
    <mergeCell ref="V134:V136"/>
    <mergeCell ref="W134:W136"/>
    <mergeCell ref="X134:X136"/>
    <mergeCell ref="Y134:Y136"/>
    <mergeCell ref="X143:X145"/>
    <mergeCell ref="Y143:Y145"/>
    <mergeCell ref="Z143:Z145"/>
    <mergeCell ref="AA143:AA145"/>
    <mergeCell ref="AB143:AB145"/>
    <mergeCell ref="A146:A148"/>
    <mergeCell ref="B146:B148"/>
    <mergeCell ref="C146:C148"/>
    <mergeCell ref="D146:D148"/>
    <mergeCell ref="E146:E148"/>
    <mergeCell ref="R143:R145"/>
    <mergeCell ref="S143:S145"/>
    <mergeCell ref="T143:T145"/>
    <mergeCell ref="U143:U145"/>
    <mergeCell ref="V143:V145"/>
    <mergeCell ref="W143:W145"/>
    <mergeCell ref="Y140:Y142"/>
    <mergeCell ref="Z140:Z142"/>
    <mergeCell ref="AA140:AA142"/>
    <mergeCell ref="AB140:AB142"/>
    <mergeCell ref="A143:A145"/>
    <mergeCell ref="B143:B145"/>
    <mergeCell ref="C143:C145"/>
    <mergeCell ref="D143:D145"/>
    <mergeCell ref="E143:E145"/>
    <mergeCell ref="Q143:Q145"/>
    <mergeCell ref="S140:S142"/>
    <mergeCell ref="T140:T142"/>
    <mergeCell ref="U140:U142"/>
    <mergeCell ref="V140:V142"/>
    <mergeCell ref="W140:W142"/>
    <mergeCell ref="X140:X142"/>
    <mergeCell ref="X149:X151"/>
    <mergeCell ref="Y149:Y151"/>
    <mergeCell ref="Z149:Z151"/>
    <mergeCell ref="AB149:AB151"/>
    <mergeCell ref="A152:A154"/>
    <mergeCell ref="B152:B154"/>
    <mergeCell ref="C152:C154"/>
    <mergeCell ref="D152:D154"/>
    <mergeCell ref="E152:E154"/>
    <mergeCell ref="R149:R151"/>
    <mergeCell ref="S149:S151"/>
    <mergeCell ref="T149:T151"/>
    <mergeCell ref="U149:U151"/>
    <mergeCell ref="V149:V151"/>
    <mergeCell ref="W149:W151"/>
    <mergeCell ref="A149:A151"/>
    <mergeCell ref="B149:B151"/>
    <mergeCell ref="C149:C151"/>
    <mergeCell ref="D149:D151"/>
    <mergeCell ref="E149:E151"/>
    <mergeCell ref="Q149:Q151"/>
    <mergeCell ref="A161:A163"/>
    <mergeCell ref="B161:B163"/>
    <mergeCell ref="C161:C163"/>
    <mergeCell ref="D161:D163"/>
    <mergeCell ref="E161:E163"/>
    <mergeCell ref="B164:B166"/>
    <mergeCell ref="C164:C166"/>
    <mergeCell ref="D164:D166"/>
    <mergeCell ref="E164:E166"/>
    <mergeCell ref="X155:X156"/>
    <mergeCell ref="Y155:Y156"/>
    <mergeCell ref="Z155:Z156"/>
    <mergeCell ref="AA155:AA156"/>
    <mergeCell ref="AB155:AB156"/>
    <mergeCell ref="A158:A160"/>
    <mergeCell ref="B158:B160"/>
    <mergeCell ref="C158:C160"/>
    <mergeCell ref="D158:D160"/>
    <mergeCell ref="E158:E160"/>
    <mergeCell ref="R155:R156"/>
    <mergeCell ref="S155:S156"/>
    <mergeCell ref="T155:T156"/>
    <mergeCell ref="U155:U156"/>
    <mergeCell ref="V155:V156"/>
    <mergeCell ref="W155:W156"/>
    <mergeCell ref="A155:A157"/>
    <mergeCell ref="B155:B157"/>
    <mergeCell ref="C155:C157"/>
    <mergeCell ref="D155:D157"/>
    <mergeCell ref="E155:E156"/>
    <mergeCell ref="Q155:Q157"/>
    <mergeCell ref="A167:A169"/>
    <mergeCell ref="B167:B169"/>
    <mergeCell ref="C167:C169"/>
    <mergeCell ref="D167:D169"/>
    <mergeCell ref="E167:E169"/>
    <mergeCell ref="A170:A172"/>
    <mergeCell ref="B170:B172"/>
    <mergeCell ref="C170:C172"/>
    <mergeCell ref="D170:D172"/>
    <mergeCell ref="E170:E172"/>
    <mergeCell ref="W164:W166"/>
    <mergeCell ref="X164:X166"/>
    <mergeCell ref="Y164:Y166"/>
    <mergeCell ref="Z164:Z166"/>
    <mergeCell ref="AA164:AA166"/>
    <mergeCell ref="AB164:AB166"/>
    <mergeCell ref="Q164:Q166"/>
    <mergeCell ref="R164:R166"/>
    <mergeCell ref="S164:S166"/>
    <mergeCell ref="T164:T166"/>
    <mergeCell ref="U164:U166"/>
    <mergeCell ref="V164:V166"/>
    <mergeCell ref="A177:A179"/>
    <mergeCell ref="B177:B179"/>
    <mergeCell ref="C177:C179"/>
    <mergeCell ref="D177:D179"/>
    <mergeCell ref="E177:E179"/>
    <mergeCell ref="R174:R176"/>
    <mergeCell ref="S174:S176"/>
    <mergeCell ref="T174:T176"/>
    <mergeCell ref="U174:U176"/>
    <mergeCell ref="V174:V176"/>
    <mergeCell ref="W174:W176"/>
    <mergeCell ref="A174:A176"/>
    <mergeCell ref="B174:B176"/>
    <mergeCell ref="C174:C176"/>
    <mergeCell ref="D174:D176"/>
    <mergeCell ref="E174:E176"/>
    <mergeCell ref="Q174:Q176"/>
    <mergeCell ref="W177:W179"/>
    <mergeCell ref="X177:X179"/>
    <mergeCell ref="Y177:Y179"/>
    <mergeCell ref="Z177:Z179"/>
    <mergeCell ref="AA177:AA179"/>
    <mergeCell ref="AB177:AB179"/>
    <mergeCell ref="Q177:Q179"/>
    <mergeCell ref="R177:R179"/>
    <mergeCell ref="S177:S179"/>
    <mergeCell ref="T177:T179"/>
    <mergeCell ref="U177:U179"/>
    <mergeCell ref="V177:V179"/>
    <mergeCell ref="X174:X176"/>
    <mergeCell ref="Y174:Y176"/>
    <mergeCell ref="Z174:Z176"/>
    <mergeCell ref="AA174:AA176"/>
    <mergeCell ref="AB174:AB176"/>
    <mergeCell ref="A183:A185"/>
    <mergeCell ref="B183:B185"/>
    <mergeCell ref="C183:C185"/>
    <mergeCell ref="D183:D185"/>
    <mergeCell ref="E183:E185"/>
    <mergeCell ref="R180:R182"/>
    <mergeCell ref="S180:S182"/>
    <mergeCell ref="T180:T182"/>
    <mergeCell ref="U180:U182"/>
    <mergeCell ref="V180:V182"/>
    <mergeCell ref="W180:W182"/>
    <mergeCell ref="A180:A182"/>
    <mergeCell ref="B180:B182"/>
    <mergeCell ref="C180:C182"/>
    <mergeCell ref="D180:D182"/>
    <mergeCell ref="E180:E182"/>
    <mergeCell ref="Q180:Q182"/>
    <mergeCell ref="W183:W185"/>
    <mergeCell ref="X183:X185"/>
    <mergeCell ref="Y183:Y185"/>
    <mergeCell ref="Z183:Z185"/>
    <mergeCell ref="AA183:AA185"/>
    <mergeCell ref="AB183:AB185"/>
    <mergeCell ref="Q183:Q185"/>
    <mergeCell ref="R183:R185"/>
    <mergeCell ref="S183:S185"/>
    <mergeCell ref="T183:T185"/>
    <mergeCell ref="U183:U185"/>
    <mergeCell ref="V183:V185"/>
    <mergeCell ref="X180:X182"/>
    <mergeCell ref="Y180:Y182"/>
    <mergeCell ref="Z180:Z182"/>
    <mergeCell ref="AA180:AA182"/>
    <mergeCell ref="AB180:AB182"/>
    <mergeCell ref="X186:X188"/>
    <mergeCell ref="Y186:Y188"/>
    <mergeCell ref="Z186:Z188"/>
    <mergeCell ref="AA186:AA188"/>
    <mergeCell ref="AB186:AB188"/>
    <mergeCell ref="A189:A191"/>
    <mergeCell ref="B189:B191"/>
    <mergeCell ref="C189:C191"/>
    <mergeCell ref="D189:D191"/>
    <mergeCell ref="E189:E191"/>
    <mergeCell ref="R186:R188"/>
    <mergeCell ref="S186:S188"/>
    <mergeCell ref="T186:T188"/>
    <mergeCell ref="U186:U188"/>
    <mergeCell ref="V186:V188"/>
    <mergeCell ref="W186:W188"/>
    <mergeCell ref="A186:A188"/>
    <mergeCell ref="B186:B188"/>
    <mergeCell ref="C186:C188"/>
    <mergeCell ref="D186:D188"/>
    <mergeCell ref="E186:E188"/>
    <mergeCell ref="Q186:Q188"/>
    <mergeCell ref="A192:A194"/>
    <mergeCell ref="B192:B194"/>
    <mergeCell ref="C192:C194"/>
    <mergeCell ref="D192:D194"/>
    <mergeCell ref="E192:E194"/>
    <mergeCell ref="Q192:Q194"/>
    <mergeCell ref="W189:W191"/>
    <mergeCell ref="X189:X191"/>
    <mergeCell ref="Y189:Y191"/>
    <mergeCell ref="Z189:Z191"/>
    <mergeCell ref="AA189:AA191"/>
    <mergeCell ref="AB189:AB191"/>
    <mergeCell ref="Q189:Q191"/>
    <mergeCell ref="R189:R191"/>
    <mergeCell ref="S189:S191"/>
    <mergeCell ref="T189:T191"/>
    <mergeCell ref="U189:U191"/>
    <mergeCell ref="V189:V191"/>
    <mergeCell ref="A198:A200"/>
    <mergeCell ref="B198:B200"/>
    <mergeCell ref="C198:C200"/>
    <mergeCell ref="D198:D200"/>
    <mergeCell ref="E198:E200"/>
    <mergeCell ref="R195:R197"/>
    <mergeCell ref="S195:S197"/>
    <mergeCell ref="T195:T197"/>
    <mergeCell ref="U195:U197"/>
    <mergeCell ref="V195:V197"/>
    <mergeCell ref="W195:W197"/>
    <mergeCell ref="A195:A197"/>
    <mergeCell ref="B195:B197"/>
    <mergeCell ref="C195:C197"/>
    <mergeCell ref="D195:D197"/>
    <mergeCell ref="E195:E197"/>
    <mergeCell ref="Q195:Q197"/>
    <mergeCell ref="E201:E203"/>
    <mergeCell ref="Q201:Q203"/>
    <mergeCell ref="W198:W200"/>
    <mergeCell ref="X198:X200"/>
    <mergeCell ref="Y198:Y200"/>
    <mergeCell ref="Z198:Z200"/>
    <mergeCell ref="AA198:AA200"/>
    <mergeCell ref="AB198:AB200"/>
    <mergeCell ref="Q198:Q200"/>
    <mergeCell ref="R198:R200"/>
    <mergeCell ref="S198:S200"/>
    <mergeCell ref="T198:T200"/>
    <mergeCell ref="U198:U200"/>
    <mergeCell ref="V198:V200"/>
    <mergeCell ref="X195:X197"/>
    <mergeCell ref="Y195:Y197"/>
    <mergeCell ref="Z195:Z197"/>
    <mergeCell ref="AA195:AA197"/>
    <mergeCell ref="AB195:AB197"/>
    <mergeCell ref="W205:W206"/>
    <mergeCell ref="X205:X206"/>
    <mergeCell ref="Y205:Y206"/>
    <mergeCell ref="Z205:Z206"/>
    <mergeCell ref="AA205:AA206"/>
    <mergeCell ref="AB205:AB206"/>
    <mergeCell ref="A205:A207"/>
    <mergeCell ref="B205:B207"/>
    <mergeCell ref="C205:C207"/>
    <mergeCell ref="D205:D207"/>
    <mergeCell ref="E205:E206"/>
    <mergeCell ref="R205:R206"/>
    <mergeCell ref="X201:X203"/>
    <mergeCell ref="Y201:Y203"/>
    <mergeCell ref="Z201:Z203"/>
    <mergeCell ref="AA201:AA203"/>
    <mergeCell ref="AB201:AB203"/>
    <mergeCell ref="Q204:Q206"/>
    <mergeCell ref="S205:S206"/>
    <mergeCell ref="T205:T206"/>
    <mergeCell ref="U205:U206"/>
    <mergeCell ref="V205:V206"/>
    <mergeCell ref="R201:R203"/>
    <mergeCell ref="S201:S203"/>
    <mergeCell ref="T201:T203"/>
    <mergeCell ref="U201:U203"/>
    <mergeCell ref="V201:V203"/>
    <mergeCell ref="W201:W203"/>
    <mergeCell ref="A201:A203"/>
    <mergeCell ref="B201:B203"/>
    <mergeCell ref="C201:C203"/>
    <mergeCell ref="D201:D203"/>
    <mergeCell ref="A211:A213"/>
    <mergeCell ref="B211:B213"/>
    <mergeCell ref="C211:C213"/>
    <mergeCell ref="D211:D213"/>
    <mergeCell ref="E211:E213"/>
    <mergeCell ref="Q211:Q212"/>
    <mergeCell ref="R208:R209"/>
    <mergeCell ref="S208:S209"/>
    <mergeCell ref="T208:T209"/>
    <mergeCell ref="U208:U209"/>
    <mergeCell ref="V208:V209"/>
    <mergeCell ref="W208:W209"/>
    <mergeCell ref="A208:A210"/>
    <mergeCell ref="B208:B210"/>
    <mergeCell ref="C208:C210"/>
    <mergeCell ref="D208:D210"/>
    <mergeCell ref="E208:E210"/>
    <mergeCell ref="Q208:Q209"/>
    <mergeCell ref="X211:X212"/>
    <mergeCell ref="Y211:Y212"/>
    <mergeCell ref="Z211:Z212"/>
    <mergeCell ref="AB211:AB212"/>
    <mergeCell ref="B214:B216"/>
    <mergeCell ref="C214:C216"/>
    <mergeCell ref="D214:D216"/>
    <mergeCell ref="E214:E216"/>
    <mergeCell ref="Q214:Q216"/>
    <mergeCell ref="R214:R216"/>
    <mergeCell ref="R211:R212"/>
    <mergeCell ref="S211:S212"/>
    <mergeCell ref="T211:T212"/>
    <mergeCell ref="U211:U212"/>
    <mergeCell ref="V211:V212"/>
    <mergeCell ref="W211:W212"/>
    <mergeCell ref="X208:X209"/>
    <mergeCell ref="Y208:Y209"/>
    <mergeCell ref="Z208:Z209"/>
    <mergeCell ref="AB208:AB209"/>
    <mergeCell ref="X217:X218"/>
    <mergeCell ref="Y217:Y218"/>
    <mergeCell ref="Z217:Z218"/>
    <mergeCell ref="AB217:AB218"/>
    <mergeCell ref="A220:A222"/>
    <mergeCell ref="B220:B222"/>
    <mergeCell ref="C220:C222"/>
    <mergeCell ref="D220:D222"/>
    <mergeCell ref="E220:E222"/>
    <mergeCell ref="Q220:Q221"/>
    <mergeCell ref="R217:R218"/>
    <mergeCell ref="S217:S218"/>
    <mergeCell ref="T217:T218"/>
    <mergeCell ref="U217:U218"/>
    <mergeCell ref="V217:V218"/>
    <mergeCell ref="W217:W218"/>
    <mergeCell ref="Y214:Y216"/>
    <mergeCell ref="Z214:Z216"/>
    <mergeCell ref="AA214:AA216"/>
    <mergeCell ref="AB214:AB216"/>
    <mergeCell ref="A217:A219"/>
    <mergeCell ref="B217:B219"/>
    <mergeCell ref="C217:C219"/>
    <mergeCell ref="D217:D219"/>
    <mergeCell ref="E217:E219"/>
    <mergeCell ref="Q217:Q218"/>
    <mergeCell ref="S214:S216"/>
    <mergeCell ref="T214:T216"/>
    <mergeCell ref="U214:U216"/>
    <mergeCell ref="V214:V216"/>
    <mergeCell ref="W214:W216"/>
    <mergeCell ref="X214:X216"/>
    <mergeCell ref="X223:X225"/>
    <mergeCell ref="Y223:Y225"/>
    <mergeCell ref="Z223:Z225"/>
    <mergeCell ref="AA223:AA225"/>
    <mergeCell ref="AB223:AB225"/>
    <mergeCell ref="B227:B229"/>
    <mergeCell ref="R223:R225"/>
    <mergeCell ref="S223:S225"/>
    <mergeCell ref="T223:T225"/>
    <mergeCell ref="U223:U225"/>
    <mergeCell ref="V223:V225"/>
    <mergeCell ref="W223:W225"/>
    <mergeCell ref="X220:X221"/>
    <mergeCell ref="Y220:Y221"/>
    <mergeCell ref="Z220:Z221"/>
    <mergeCell ref="AB220:AB221"/>
    <mergeCell ref="A223:A225"/>
    <mergeCell ref="B223:B225"/>
    <mergeCell ref="C223:C225"/>
    <mergeCell ref="D223:D225"/>
    <mergeCell ref="E223:E225"/>
    <mergeCell ref="Q223:Q225"/>
    <mergeCell ref="R220:R221"/>
    <mergeCell ref="S220:S221"/>
    <mergeCell ref="T220:T221"/>
    <mergeCell ref="U220:U221"/>
    <mergeCell ref="V220:V221"/>
    <mergeCell ref="W220:W221"/>
    <mergeCell ref="AB230:AB232"/>
    <mergeCell ref="B233:B235"/>
    <mergeCell ref="Q233:Q235"/>
    <mergeCell ref="R233:R235"/>
    <mergeCell ref="S233:S235"/>
    <mergeCell ref="T233:T235"/>
    <mergeCell ref="U233:U235"/>
    <mergeCell ref="V233:V235"/>
    <mergeCell ref="W233:W235"/>
    <mergeCell ref="X233:X235"/>
    <mergeCell ref="V230:V232"/>
    <mergeCell ref="W230:W232"/>
    <mergeCell ref="X230:X232"/>
    <mergeCell ref="Y230:Y232"/>
    <mergeCell ref="Z230:Z232"/>
    <mergeCell ref="AA230:AA232"/>
    <mergeCell ref="B230:B232"/>
    <mergeCell ref="Q230:Q232"/>
    <mergeCell ref="R230:R232"/>
    <mergeCell ref="S230:S232"/>
    <mergeCell ref="T230:T232"/>
    <mergeCell ref="U230:U232"/>
    <mergeCell ref="AB236:AB238"/>
    <mergeCell ref="B239:B241"/>
    <mergeCell ref="Q239:Q241"/>
    <mergeCell ref="R239:R241"/>
    <mergeCell ref="S239:S241"/>
    <mergeCell ref="T239:T241"/>
    <mergeCell ref="U239:U241"/>
    <mergeCell ref="V239:V241"/>
    <mergeCell ref="W239:W241"/>
    <mergeCell ref="X239:X241"/>
    <mergeCell ref="V236:V238"/>
    <mergeCell ref="W236:W238"/>
    <mergeCell ref="X236:X238"/>
    <mergeCell ref="Y236:Y238"/>
    <mergeCell ref="Z236:Z238"/>
    <mergeCell ref="AA236:AA238"/>
    <mergeCell ref="Y233:Y235"/>
    <mergeCell ref="Z233:Z235"/>
    <mergeCell ref="AA233:AA235"/>
    <mergeCell ref="AB233:AB235"/>
    <mergeCell ref="B236:B238"/>
    <mergeCell ref="Q236:Q238"/>
    <mergeCell ref="R236:R238"/>
    <mergeCell ref="S236:S238"/>
    <mergeCell ref="T236:T238"/>
    <mergeCell ref="U236:U238"/>
    <mergeCell ref="AB242:AB244"/>
    <mergeCell ref="B245:B247"/>
    <mergeCell ref="Q245:Q247"/>
    <mergeCell ref="R245:R247"/>
    <mergeCell ref="S245:S247"/>
    <mergeCell ref="T245:T247"/>
    <mergeCell ref="U245:U247"/>
    <mergeCell ref="V245:V247"/>
    <mergeCell ref="W245:W247"/>
    <mergeCell ref="X245:X247"/>
    <mergeCell ref="V242:V244"/>
    <mergeCell ref="W242:W244"/>
    <mergeCell ref="X242:X244"/>
    <mergeCell ref="Y242:Y244"/>
    <mergeCell ref="Z242:Z244"/>
    <mergeCell ref="AA242:AA244"/>
    <mergeCell ref="Y239:Y241"/>
    <mergeCell ref="Z239:Z241"/>
    <mergeCell ref="AA239:AA241"/>
    <mergeCell ref="AB239:AB241"/>
    <mergeCell ref="B242:B244"/>
    <mergeCell ref="Q242:Q244"/>
    <mergeCell ref="R242:R244"/>
    <mergeCell ref="S242:S244"/>
    <mergeCell ref="T242:T244"/>
    <mergeCell ref="U242:U244"/>
    <mergeCell ref="AA251:AA252"/>
    <mergeCell ref="AB251:AB252"/>
    <mergeCell ref="B255:B257"/>
    <mergeCell ref="B258:B260"/>
    <mergeCell ref="Q258:Q260"/>
    <mergeCell ref="R258:R260"/>
    <mergeCell ref="S258:S260"/>
    <mergeCell ref="T258:T260"/>
    <mergeCell ref="U258:U260"/>
    <mergeCell ref="V258:V260"/>
    <mergeCell ref="U251:U252"/>
    <mergeCell ref="V251:V252"/>
    <mergeCell ref="W251:W252"/>
    <mergeCell ref="X251:X252"/>
    <mergeCell ref="Y251:Y252"/>
    <mergeCell ref="Z251:Z252"/>
    <mergeCell ref="Y245:Y247"/>
    <mergeCell ref="Z245:Z247"/>
    <mergeCell ref="AA245:AA247"/>
    <mergeCell ref="AB245:AB247"/>
    <mergeCell ref="B248:B250"/>
    <mergeCell ref="B251:B253"/>
    <mergeCell ref="Q251:Q253"/>
    <mergeCell ref="R251:R252"/>
    <mergeCell ref="S251:S252"/>
    <mergeCell ref="T251:T252"/>
    <mergeCell ref="AB261:AB263"/>
    <mergeCell ref="B264:B266"/>
    <mergeCell ref="Q264:Q266"/>
    <mergeCell ref="R264:R266"/>
    <mergeCell ref="S264:S266"/>
    <mergeCell ref="T264:T266"/>
    <mergeCell ref="U264:U266"/>
    <mergeCell ref="V264:V266"/>
    <mergeCell ref="W264:W266"/>
    <mergeCell ref="X264:X266"/>
    <mergeCell ref="U261:U263"/>
    <mergeCell ref="V261:V263"/>
    <mergeCell ref="W261:W263"/>
    <mergeCell ref="X261:X263"/>
    <mergeCell ref="Y261:Y263"/>
    <mergeCell ref="Z261:Z263"/>
    <mergeCell ref="W258:W260"/>
    <mergeCell ref="X258:X260"/>
    <mergeCell ref="Y258:Y260"/>
    <mergeCell ref="Z258:Z260"/>
    <mergeCell ref="AB258:AB260"/>
    <mergeCell ref="B261:B263"/>
    <mergeCell ref="Q261:Q263"/>
    <mergeCell ref="R261:R263"/>
    <mergeCell ref="S261:S263"/>
    <mergeCell ref="T261:T263"/>
    <mergeCell ref="W267:W269"/>
    <mergeCell ref="X267:X269"/>
    <mergeCell ref="Y267:Y269"/>
    <mergeCell ref="Z267:Z269"/>
    <mergeCell ref="AB267:AB269"/>
    <mergeCell ref="B270:B272"/>
    <mergeCell ref="Q270:Q272"/>
    <mergeCell ref="R270:R272"/>
    <mergeCell ref="S270:S272"/>
    <mergeCell ref="T270:T272"/>
    <mergeCell ref="Y264:Y266"/>
    <mergeCell ref="Z264:Z266"/>
    <mergeCell ref="AB264:AB266"/>
    <mergeCell ref="B267:B269"/>
    <mergeCell ref="Q267:Q269"/>
    <mergeCell ref="R267:R269"/>
    <mergeCell ref="S267:S269"/>
    <mergeCell ref="T267:T269"/>
    <mergeCell ref="U267:U269"/>
    <mergeCell ref="V267:V269"/>
    <mergeCell ref="Y273:Y275"/>
    <mergeCell ref="Z273:Z275"/>
    <mergeCell ref="AB273:AB275"/>
    <mergeCell ref="B276:B278"/>
    <mergeCell ref="B279:B281"/>
    <mergeCell ref="Q279:Q281"/>
    <mergeCell ref="R279:R280"/>
    <mergeCell ref="S279:S280"/>
    <mergeCell ref="T279:T280"/>
    <mergeCell ref="U279:U280"/>
    <mergeCell ref="AB270:AB272"/>
    <mergeCell ref="B273:B275"/>
    <mergeCell ref="Q273:Q275"/>
    <mergeCell ref="R273:R275"/>
    <mergeCell ref="S273:S275"/>
    <mergeCell ref="T273:T275"/>
    <mergeCell ref="U273:U275"/>
    <mergeCell ref="V273:V275"/>
    <mergeCell ref="W273:W275"/>
    <mergeCell ref="X273:X275"/>
    <mergeCell ref="U270:U272"/>
    <mergeCell ref="V270:V272"/>
    <mergeCell ref="W270:W272"/>
    <mergeCell ref="X270:X272"/>
    <mergeCell ref="Y270:Y272"/>
    <mergeCell ref="Z270:Z272"/>
    <mergeCell ref="V279:V280"/>
    <mergeCell ref="W279:W280"/>
    <mergeCell ref="X279:X280"/>
    <mergeCell ref="Y279:Y280"/>
    <mergeCell ref="Z279:Z280"/>
    <mergeCell ref="AB279:AB280"/>
    <mergeCell ref="AA285:AA287"/>
    <mergeCell ref="AB285:AB287"/>
    <mergeCell ref="A288:A290"/>
    <mergeCell ref="B288:B290"/>
    <mergeCell ref="C288:C290"/>
    <mergeCell ref="D288:D290"/>
    <mergeCell ref="E288:E290"/>
    <mergeCell ref="U285:U287"/>
    <mergeCell ref="V285:V287"/>
    <mergeCell ref="W285:W287"/>
    <mergeCell ref="X285:X287"/>
    <mergeCell ref="Y285:Y287"/>
    <mergeCell ref="Z285:Z287"/>
    <mergeCell ref="B282:B284"/>
    <mergeCell ref="B285:B287"/>
    <mergeCell ref="Q285:Q287"/>
    <mergeCell ref="R285:R287"/>
    <mergeCell ref="S285:S287"/>
    <mergeCell ref="T285:T287"/>
  </mergeCells>
  <pageMargins left="0.19685039370078741" right="0.11811023622047245" top="0.19685039370078741" bottom="0.15748031496062992" header="0.31496062992125984" footer="0.31496062992125984"/>
  <pageSetup paperSize="9" scale="1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24 факт, 2025-2027 на 28.02.25</vt:lpstr>
      <vt:lpstr>'24 факт, 2025-2027 на 28.02.25'!Область_печати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Приемная Главы</cp:lastModifiedBy>
  <cp:lastPrinted>2025-03-06T05:02:42Z</cp:lastPrinted>
  <dcterms:created xsi:type="dcterms:W3CDTF">2024-12-25T08:46:54Z</dcterms:created>
  <dcterms:modified xsi:type="dcterms:W3CDTF">2025-03-06T05:03:49Z</dcterms:modified>
</cp:coreProperties>
</file>