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программа Развития сц-культ сферы\ПРОГРАММА 2019-2025\апрель 2024 Культура\"/>
    </mc:Choice>
  </mc:AlternateContent>
  <bookViews>
    <workbookView xWindow="0" yWindow="0" windowWidth="19200" windowHeight="12195" tabRatio="588"/>
  </bookViews>
  <sheets>
    <sheet name="24-26 на 31.03.24" sheetId="126" r:id="rId1"/>
  </sheets>
  <definedNames>
    <definedName name="_xlnm.Print_Area" localSheetId="0">'24-26 на 31.03.24'!$A$3:$Z$288</definedName>
  </definedNames>
  <calcPr calcId="162913" iterate="1"/>
</workbook>
</file>

<file path=xl/calcChain.xml><?xml version="1.0" encoding="utf-8"?>
<calcChain xmlns="http://schemas.openxmlformats.org/spreadsheetml/2006/main">
  <c r="M92" i="126" l="1"/>
  <c r="M23" i="126"/>
  <c r="G281" i="126" l="1"/>
  <c r="G280" i="126"/>
  <c r="O279" i="126"/>
  <c r="N279" i="126"/>
  <c r="M279" i="126"/>
  <c r="L279" i="126"/>
  <c r="K279" i="126"/>
  <c r="J279" i="126"/>
  <c r="I279" i="126"/>
  <c r="H279" i="126"/>
  <c r="O278" i="126"/>
  <c r="N278" i="126"/>
  <c r="M278" i="126"/>
  <c r="L278" i="126"/>
  <c r="K278" i="126"/>
  <c r="J278" i="126"/>
  <c r="I278" i="126"/>
  <c r="H278" i="126"/>
  <c r="O277" i="126"/>
  <c r="O276" i="126" s="1"/>
  <c r="N277" i="126"/>
  <c r="N276" i="126" s="1"/>
  <c r="M277" i="126"/>
  <c r="M276" i="126" s="1"/>
  <c r="L277" i="126"/>
  <c r="L276" i="126" s="1"/>
  <c r="K277" i="126"/>
  <c r="K276" i="126" s="1"/>
  <c r="J277" i="126"/>
  <c r="J276" i="126" s="1"/>
  <c r="I277" i="126"/>
  <c r="I276" i="126" s="1"/>
  <c r="H277" i="126"/>
  <c r="K275" i="126"/>
  <c r="G275" i="126" s="1"/>
  <c r="K274" i="126"/>
  <c r="G274" i="126" s="1"/>
  <c r="O273" i="126"/>
  <c r="N273" i="126"/>
  <c r="M273" i="126"/>
  <c r="L273" i="126"/>
  <c r="J273" i="126"/>
  <c r="I273" i="126"/>
  <c r="H273" i="126"/>
  <c r="O272" i="126"/>
  <c r="N272" i="126"/>
  <c r="M272" i="126"/>
  <c r="L272" i="126"/>
  <c r="J272" i="126"/>
  <c r="I272" i="126"/>
  <c r="H272" i="126"/>
  <c r="O271" i="126"/>
  <c r="N271" i="126"/>
  <c r="M271" i="126"/>
  <c r="L271" i="126"/>
  <c r="J271" i="126"/>
  <c r="I271" i="126"/>
  <c r="H271" i="126"/>
  <c r="K269" i="126"/>
  <c r="G269" i="126" s="1"/>
  <c r="G268" i="126"/>
  <c r="O267" i="126"/>
  <c r="N267" i="126"/>
  <c r="M267" i="126"/>
  <c r="L267" i="126"/>
  <c r="J267" i="126"/>
  <c r="I267" i="126"/>
  <c r="H267" i="126"/>
  <c r="G266" i="126"/>
  <c r="G265" i="126"/>
  <c r="O264" i="126"/>
  <c r="N264" i="126"/>
  <c r="M264" i="126"/>
  <c r="L264" i="126"/>
  <c r="K264" i="126"/>
  <c r="J264" i="126"/>
  <c r="I264" i="126"/>
  <c r="H264" i="126"/>
  <c r="G263" i="126"/>
  <c r="G262" i="126"/>
  <c r="O261" i="126"/>
  <c r="N261" i="126"/>
  <c r="M261" i="126"/>
  <c r="L261" i="126"/>
  <c r="K261" i="126"/>
  <c r="J261" i="126"/>
  <c r="I261" i="126"/>
  <c r="H261" i="126"/>
  <c r="I260" i="126"/>
  <c r="G259" i="126"/>
  <c r="O258" i="126"/>
  <c r="N258" i="126"/>
  <c r="M258" i="126"/>
  <c r="L258" i="126"/>
  <c r="K258" i="126"/>
  <c r="J258" i="126"/>
  <c r="H258" i="126"/>
  <c r="G257" i="126"/>
  <c r="G256" i="126"/>
  <c r="O255" i="126"/>
  <c r="N255" i="126"/>
  <c r="M255" i="126"/>
  <c r="L255" i="126"/>
  <c r="K255" i="126"/>
  <c r="J255" i="126"/>
  <c r="I255" i="126"/>
  <c r="H255" i="126"/>
  <c r="G254" i="126"/>
  <c r="G253" i="126"/>
  <c r="O252" i="126"/>
  <c r="N252" i="126"/>
  <c r="M252" i="126"/>
  <c r="L252" i="126"/>
  <c r="K252" i="126"/>
  <c r="J252" i="126"/>
  <c r="I252" i="126"/>
  <c r="H252" i="126"/>
  <c r="O251" i="126"/>
  <c r="N251" i="126"/>
  <c r="M251" i="126"/>
  <c r="L251" i="126"/>
  <c r="K251" i="126"/>
  <c r="J251" i="126"/>
  <c r="H251" i="126"/>
  <c r="O250" i="126"/>
  <c r="N250" i="126"/>
  <c r="M250" i="126"/>
  <c r="L250" i="126"/>
  <c r="K250" i="126"/>
  <c r="J250" i="126"/>
  <c r="I250" i="126"/>
  <c r="H250" i="126"/>
  <c r="K247" i="126"/>
  <c r="G247" i="126" s="1"/>
  <c r="K246" i="126"/>
  <c r="G246" i="126" s="1"/>
  <c r="O245" i="126"/>
  <c r="N245" i="126"/>
  <c r="M245" i="126"/>
  <c r="L245" i="126"/>
  <c r="J245" i="126"/>
  <c r="I245" i="126"/>
  <c r="H245" i="126"/>
  <c r="O244" i="126"/>
  <c r="N244" i="126"/>
  <c r="M244" i="126"/>
  <c r="L244" i="126"/>
  <c r="J244" i="126"/>
  <c r="I244" i="126"/>
  <c r="H244" i="126"/>
  <c r="O243" i="126"/>
  <c r="N243" i="126"/>
  <c r="M243" i="126"/>
  <c r="L243" i="126"/>
  <c r="J243" i="126"/>
  <c r="I243" i="126"/>
  <c r="H243" i="126"/>
  <c r="K241" i="126"/>
  <c r="G241" i="126" s="1"/>
  <c r="G240" i="126"/>
  <c r="O239" i="126"/>
  <c r="N239" i="126"/>
  <c r="M239" i="126"/>
  <c r="L239" i="126"/>
  <c r="J239" i="126"/>
  <c r="I239" i="126"/>
  <c r="H239" i="126"/>
  <c r="G238" i="126"/>
  <c r="G237" i="126"/>
  <c r="O236" i="126"/>
  <c r="N236" i="126"/>
  <c r="M236" i="126"/>
  <c r="L236" i="126"/>
  <c r="K236" i="126"/>
  <c r="J236" i="126"/>
  <c r="I236" i="126"/>
  <c r="H236" i="126"/>
  <c r="G235" i="126"/>
  <c r="G234" i="126"/>
  <c r="O233" i="126"/>
  <c r="N233" i="126"/>
  <c r="M233" i="126"/>
  <c r="L233" i="126"/>
  <c r="K233" i="126"/>
  <c r="J233" i="126"/>
  <c r="I233" i="126"/>
  <c r="H233" i="126"/>
  <c r="I232" i="126"/>
  <c r="I223" i="126" s="1"/>
  <c r="G231" i="126"/>
  <c r="O230" i="126"/>
  <c r="N230" i="126"/>
  <c r="M230" i="126"/>
  <c r="L230" i="126"/>
  <c r="K230" i="126"/>
  <c r="J230" i="126"/>
  <c r="H230" i="126"/>
  <c r="G229" i="126"/>
  <c r="G228" i="126"/>
  <c r="O227" i="126"/>
  <c r="N227" i="126"/>
  <c r="M227" i="126"/>
  <c r="L227" i="126"/>
  <c r="K227" i="126"/>
  <c r="J227" i="126"/>
  <c r="I227" i="126"/>
  <c r="H227" i="126"/>
  <c r="G226" i="126"/>
  <c r="G225" i="126"/>
  <c r="O224" i="126"/>
  <c r="N224" i="126"/>
  <c r="M224" i="126"/>
  <c r="L224" i="126"/>
  <c r="K224" i="126"/>
  <c r="J224" i="126"/>
  <c r="I224" i="126"/>
  <c r="H224" i="126"/>
  <c r="O223" i="126"/>
  <c r="N223" i="126"/>
  <c r="M223" i="126"/>
  <c r="L223" i="126"/>
  <c r="K223" i="126"/>
  <c r="J223" i="126"/>
  <c r="H223" i="126"/>
  <c r="O222" i="126"/>
  <c r="N222" i="126"/>
  <c r="M222" i="126"/>
  <c r="L222" i="126"/>
  <c r="K222" i="126"/>
  <c r="J222" i="126"/>
  <c r="I222" i="126"/>
  <c r="H222" i="126"/>
  <c r="G219" i="126"/>
  <c r="G218" i="126"/>
  <c r="O217" i="126"/>
  <c r="N217" i="126"/>
  <c r="M217" i="126"/>
  <c r="L217" i="126"/>
  <c r="K217" i="126"/>
  <c r="J217" i="126"/>
  <c r="I217" i="126"/>
  <c r="H217" i="126"/>
  <c r="G216" i="126"/>
  <c r="G215" i="126"/>
  <c r="O214" i="126"/>
  <c r="N214" i="126"/>
  <c r="M214" i="126"/>
  <c r="L214" i="126"/>
  <c r="K214" i="126"/>
  <c r="J214" i="126"/>
  <c r="I214" i="126"/>
  <c r="H214" i="126"/>
  <c r="G213" i="126"/>
  <c r="G212" i="126"/>
  <c r="O211" i="126"/>
  <c r="N211" i="126"/>
  <c r="M211" i="126"/>
  <c r="L211" i="126"/>
  <c r="K211" i="126"/>
  <c r="J211" i="126"/>
  <c r="I211" i="126"/>
  <c r="H211" i="126"/>
  <c r="L210" i="126"/>
  <c r="K210" i="126"/>
  <c r="J210" i="126"/>
  <c r="M209" i="126"/>
  <c r="L209" i="126"/>
  <c r="K209" i="126"/>
  <c r="K208" i="126" s="1"/>
  <c r="J209" i="126"/>
  <c r="O208" i="126"/>
  <c r="N208" i="126"/>
  <c r="M208" i="126"/>
  <c r="I208" i="126"/>
  <c r="H208" i="126"/>
  <c r="L207" i="126"/>
  <c r="L201" i="126" s="1"/>
  <c r="K207" i="126"/>
  <c r="J207" i="126"/>
  <c r="O206" i="126"/>
  <c r="O200" i="126" s="1"/>
  <c r="N206" i="126"/>
  <c r="N205" i="126" s="1"/>
  <c r="M206" i="126"/>
  <c r="M205" i="126" s="1"/>
  <c r="L206" i="126"/>
  <c r="L200" i="126" s="1"/>
  <c r="K206" i="126"/>
  <c r="K200" i="126" s="1"/>
  <c r="J206" i="126"/>
  <c r="J200" i="126" s="1"/>
  <c r="O205" i="126"/>
  <c r="I205" i="126"/>
  <c r="H205" i="126"/>
  <c r="G204" i="126"/>
  <c r="G203" i="126"/>
  <c r="O202" i="126"/>
  <c r="N202" i="126"/>
  <c r="M202" i="126"/>
  <c r="L202" i="126"/>
  <c r="K202" i="126"/>
  <c r="J202" i="126"/>
  <c r="I202" i="126"/>
  <c r="H202" i="126"/>
  <c r="O201" i="126"/>
  <c r="N201" i="126"/>
  <c r="M201" i="126"/>
  <c r="K201" i="126"/>
  <c r="I201" i="126"/>
  <c r="H201" i="126"/>
  <c r="N200" i="126"/>
  <c r="I200" i="126"/>
  <c r="H200" i="126"/>
  <c r="G197" i="126"/>
  <c r="G196" i="126"/>
  <c r="O195" i="126"/>
  <c r="N195" i="126"/>
  <c r="M195" i="126"/>
  <c r="L195" i="126"/>
  <c r="K195" i="126"/>
  <c r="J195" i="126"/>
  <c r="I195" i="126"/>
  <c r="H195" i="126"/>
  <c r="G194" i="126"/>
  <c r="G193" i="126"/>
  <c r="O192" i="126"/>
  <c r="N192" i="126"/>
  <c r="M192" i="126"/>
  <c r="L192" i="126"/>
  <c r="K192" i="126"/>
  <c r="J192" i="126"/>
  <c r="I192" i="126"/>
  <c r="H192" i="126"/>
  <c r="G191" i="126"/>
  <c r="G190" i="126"/>
  <c r="O189" i="126"/>
  <c r="N189" i="126"/>
  <c r="M189" i="126"/>
  <c r="L189" i="126"/>
  <c r="K189" i="126"/>
  <c r="J189" i="126"/>
  <c r="I189" i="126"/>
  <c r="H189" i="126"/>
  <c r="G188" i="126"/>
  <c r="G187" i="126"/>
  <c r="O186" i="126"/>
  <c r="N186" i="126"/>
  <c r="M186" i="126"/>
  <c r="L186" i="126"/>
  <c r="K186" i="126"/>
  <c r="J186" i="126"/>
  <c r="I186" i="126"/>
  <c r="H186" i="126"/>
  <c r="L185" i="126"/>
  <c r="K185" i="126"/>
  <c r="J185" i="126"/>
  <c r="L184" i="126"/>
  <c r="K184" i="126"/>
  <c r="J184" i="126"/>
  <c r="O183" i="126"/>
  <c r="N183" i="126"/>
  <c r="M183" i="126"/>
  <c r="I183" i="126"/>
  <c r="H183" i="126"/>
  <c r="M182" i="126"/>
  <c r="L182" i="126"/>
  <c r="L170" i="126" s="1"/>
  <c r="K182" i="126"/>
  <c r="J182" i="126"/>
  <c r="O181" i="126"/>
  <c r="O169" i="126" s="1"/>
  <c r="N181" i="126"/>
  <c r="N169" i="126" s="1"/>
  <c r="M181" i="126"/>
  <c r="M169" i="126" s="1"/>
  <c r="L181" i="126"/>
  <c r="K181" i="126"/>
  <c r="K169" i="126" s="1"/>
  <c r="J181" i="126"/>
  <c r="I181" i="126"/>
  <c r="I180" i="126" s="1"/>
  <c r="H180" i="126"/>
  <c r="G179" i="126"/>
  <c r="G178" i="126"/>
  <c r="O177" i="126"/>
  <c r="N177" i="126"/>
  <c r="M177" i="126"/>
  <c r="L177" i="126"/>
  <c r="K177" i="126"/>
  <c r="J177" i="126"/>
  <c r="I177" i="126"/>
  <c r="H177" i="126"/>
  <c r="G176" i="126"/>
  <c r="G175" i="126"/>
  <c r="O174" i="126"/>
  <c r="N174" i="126"/>
  <c r="M174" i="126"/>
  <c r="L174" i="126"/>
  <c r="K174" i="126"/>
  <c r="I174" i="126"/>
  <c r="H174" i="126"/>
  <c r="G173" i="126"/>
  <c r="G172" i="126"/>
  <c r="O171" i="126"/>
  <c r="N171" i="126"/>
  <c r="M171" i="126"/>
  <c r="L171" i="126"/>
  <c r="K171" i="126"/>
  <c r="J171" i="126"/>
  <c r="I171" i="126"/>
  <c r="H171" i="126"/>
  <c r="O170" i="126"/>
  <c r="N170" i="126"/>
  <c r="I170" i="126"/>
  <c r="H170" i="126"/>
  <c r="H169" i="126"/>
  <c r="G166" i="126"/>
  <c r="G165" i="126"/>
  <c r="O164" i="126"/>
  <c r="N164" i="126"/>
  <c r="M164" i="126"/>
  <c r="L164" i="126"/>
  <c r="K164" i="126"/>
  <c r="J164" i="126"/>
  <c r="I164" i="126"/>
  <c r="H164" i="126"/>
  <c r="G163" i="126"/>
  <c r="G162" i="126"/>
  <c r="O161" i="126"/>
  <c r="N161" i="126"/>
  <c r="M161" i="126"/>
  <c r="L161" i="126"/>
  <c r="K161" i="126"/>
  <c r="J161" i="126"/>
  <c r="I161" i="126"/>
  <c r="H161" i="126"/>
  <c r="L160" i="126"/>
  <c r="K160" i="126"/>
  <c r="J160" i="126"/>
  <c r="L159" i="126"/>
  <c r="K159" i="126"/>
  <c r="J159" i="126"/>
  <c r="O158" i="126"/>
  <c r="N158" i="126"/>
  <c r="M158" i="126"/>
  <c r="I158" i="126"/>
  <c r="H158" i="126"/>
  <c r="L157" i="126"/>
  <c r="L151" i="126" s="1"/>
  <c r="K157" i="126"/>
  <c r="K151" i="126" s="1"/>
  <c r="J157" i="126"/>
  <c r="O156" i="126"/>
  <c r="O155" i="126" s="1"/>
  <c r="N156" i="126"/>
  <c r="N155" i="126" s="1"/>
  <c r="M156" i="126"/>
  <c r="M155" i="126" s="1"/>
  <c r="L156" i="126"/>
  <c r="K156" i="126"/>
  <c r="K155" i="126" s="1"/>
  <c r="J156" i="126"/>
  <c r="J155" i="126" s="1"/>
  <c r="I155" i="126"/>
  <c r="H155" i="126"/>
  <c r="G154" i="126"/>
  <c r="J153" i="126"/>
  <c r="O152" i="126"/>
  <c r="N152" i="126"/>
  <c r="M152" i="126"/>
  <c r="L152" i="126"/>
  <c r="K152" i="126"/>
  <c r="I152" i="126"/>
  <c r="H152" i="126"/>
  <c r="O151" i="126"/>
  <c r="N151" i="126"/>
  <c r="M151" i="126"/>
  <c r="M124" i="126" s="1"/>
  <c r="I151" i="126"/>
  <c r="H151" i="126"/>
  <c r="H124" i="126" s="1"/>
  <c r="I150" i="126"/>
  <c r="H150" i="126"/>
  <c r="H123" i="126" s="1"/>
  <c r="G148" i="126"/>
  <c r="G147" i="126"/>
  <c r="O146" i="126"/>
  <c r="N146" i="126"/>
  <c r="M146" i="126"/>
  <c r="L146" i="126"/>
  <c r="K146" i="126"/>
  <c r="J146" i="126"/>
  <c r="I146" i="126"/>
  <c r="H146" i="126"/>
  <c r="G145" i="126"/>
  <c r="G144" i="126"/>
  <c r="O143" i="126"/>
  <c r="N143" i="126"/>
  <c r="M143" i="126"/>
  <c r="L143" i="126"/>
  <c r="K143" i="126"/>
  <c r="J143" i="126"/>
  <c r="I143" i="126"/>
  <c r="H143" i="126"/>
  <c r="L142" i="126"/>
  <c r="G142" i="126" s="1"/>
  <c r="L141" i="126"/>
  <c r="G141" i="126" s="1"/>
  <c r="O140" i="126"/>
  <c r="N140" i="126"/>
  <c r="M140" i="126"/>
  <c r="K140" i="126"/>
  <c r="J140" i="126"/>
  <c r="I140" i="126"/>
  <c r="H140" i="126"/>
  <c r="L139" i="126"/>
  <c r="K139" i="126"/>
  <c r="J139" i="126"/>
  <c r="L138" i="126"/>
  <c r="K138" i="126"/>
  <c r="J138" i="126"/>
  <c r="O137" i="126"/>
  <c r="N137" i="126"/>
  <c r="M137" i="126"/>
  <c r="I137" i="126"/>
  <c r="H137" i="126"/>
  <c r="L136" i="126"/>
  <c r="K136" i="126"/>
  <c r="J136" i="126"/>
  <c r="O135" i="126"/>
  <c r="O134" i="126" s="1"/>
  <c r="N135" i="126"/>
  <c r="M135" i="126"/>
  <c r="M134" i="126" s="1"/>
  <c r="L135" i="126"/>
  <c r="L134" i="126" s="1"/>
  <c r="K135" i="126"/>
  <c r="J135" i="126"/>
  <c r="I135" i="126"/>
  <c r="J134" i="126"/>
  <c r="H134" i="126"/>
  <c r="G133" i="126"/>
  <c r="G132" i="126"/>
  <c r="O131" i="126"/>
  <c r="N131" i="126"/>
  <c r="M131" i="126"/>
  <c r="L131" i="126"/>
  <c r="K131" i="126"/>
  <c r="J131" i="126"/>
  <c r="I131" i="126"/>
  <c r="H131" i="126"/>
  <c r="G130" i="126"/>
  <c r="G129" i="126"/>
  <c r="O128" i="126"/>
  <c r="N128" i="126"/>
  <c r="M128" i="126"/>
  <c r="L128" i="126"/>
  <c r="K128" i="126"/>
  <c r="J128" i="126"/>
  <c r="I128" i="126"/>
  <c r="H128" i="126"/>
  <c r="G127" i="126"/>
  <c r="J126" i="126"/>
  <c r="G126" i="126" s="1"/>
  <c r="O125" i="126"/>
  <c r="N125" i="126"/>
  <c r="M125" i="126"/>
  <c r="L125" i="126"/>
  <c r="K125" i="126"/>
  <c r="I125" i="126"/>
  <c r="H125" i="126"/>
  <c r="O124" i="126"/>
  <c r="N124" i="126"/>
  <c r="L120" i="126"/>
  <c r="G119" i="126"/>
  <c r="M118" i="126"/>
  <c r="K118" i="126"/>
  <c r="J118" i="126"/>
  <c r="I118" i="126"/>
  <c r="H118" i="126"/>
  <c r="G117" i="126"/>
  <c r="L116" i="126"/>
  <c r="G116" i="126" s="1"/>
  <c r="M115" i="126"/>
  <c r="K115" i="126"/>
  <c r="J115" i="126"/>
  <c r="I115" i="126"/>
  <c r="H115" i="126"/>
  <c r="G114" i="126"/>
  <c r="K113" i="126"/>
  <c r="G113" i="126" s="1"/>
  <c r="M112" i="126"/>
  <c r="L112" i="126"/>
  <c r="J112" i="126"/>
  <c r="I112" i="126"/>
  <c r="H112" i="126"/>
  <c r="G111" i="126"/>
  <c r="G110" i="126"/>
  <c r="M109" i="126"/>
  <c r="L109" i="126"/>
  <c r="K109" i="126"/>
  <c r="J109" i="126"/>
  <c r="I109" i="126"/>
  <c r="H109" i="126"/>
  <c r="G108" i="126"/>
  <c r="G107" i="126"/>
  <c r="M106" i="126"/>
  <c r="L106" i="126"/>
  <c r="K106" i="126"/>
  <c r="J106" i="126"/>
  <c r="I106" i="126"/>
  <c r="H106" i="126"/>
  <c r="G105" i="126"/>
  <c r="H104" i="126"/>
  <c r="G104" i="126" s="1"/>
  <c r="M103" i="126"/>
  <c r="L103" i="126"/>
  <c r="K103" i="126"/>
  <c r="J103" i="126"/>
  <c r="I103" i="126"/>
  <c r="O102" i="126"/>
  <c r="O73" i="126" s="1"/>
  <c r="N102" i="126"/>
  <c r="M102" i="126" s="1"/>
  <c r="M101" i="126"/>
  <c r="L101" i="126" s="1"/>
  <c r="G99" i="126"/>
  <c r="G98" i="126"/>
  <c r="O97" i="126"/>
  <c r="N97" i="126"/>
  <c r="M97" i="126"/>
  <c r="L97" i="126"/>
  <c r="K97" i="126"/>
  <c r="J97" i="126"/>
  <c r="I97" i="126"/>
  <c r="H97" i="126"/>
  <c r="L96" i="126"/>
  <c r="K96" i="126"/>
  <c r="J96" i="126"/>
  <c r="I96" i="126"/>
  <c r="H96" i="126"/>
  <c r="M95" i="126"/>
  <c r="L95" i="126"/>
  <c r="K95" i="126"/>
  <c r="K94" i="126" s="1"/>
  <c r="J95" i="126"/>
  <c r="I95" i="126"/>
  <c r="H95" i="126"/>
  <c r="O94" i="126"/>
  <c r="N94" i="126"/>
  <c r="M94" i="126"/>
  <c r="M93" i="126"/>
  <c r="M90" i="126" s="1"/>
  <c r="L93" i="126"/>
  <c r="K93" i="126"/>
  <c r="J93" i="126"/>
  <c r="I93" i="126"/>
  <c r="O92" i="126"/>
  <c r="N92" i="126"/>
  <c r="N72" i="126" s="1"/>
  <c r="L92" i="126"/>
  <c r="K92" i="126"/>
  <c r="J92" i="126"/>
  <c r="J90" i="126" s="1"/>
  <c r="I92" i="126"/>
  <c r="L90" i="126"/>
  <c r="H90" i="126"/>
  <c r="G89" i="126"/>
  <c r="G88" i="126"/>
  <c r="O87" i="126"/>
  <c r="N87" i="126"/>
  <c r="M87" i="126"/>
  <c r="L87" i="126"/>
  <c r="K87" i="126"/>
  <c r="J87" i="126"/>
  <c r="I87" i="126"/>
  <c r="H87" i="126"/>
  <c r="G86" i="126"/>
  <c r="G85" i="126"/>
  <c r="O84" i="126"/>
  <c r="N84" i="126"/>
  <c r="M84" i="126"/>
  <c r="L84" i="126"/>
  <c r="K84" i="126"/>
  <c r="J84" i="126"/>
  <c r="I84" i="126"/>
  <c r="H84" i="126"/>
  <c r="G83" i="126"/>
  <c r="G82" i="126"/>
  <c r="O81" i="126"/>
  <c r="N81" i="126"/>
  <c r="M81" i="126"/>
  <c r="L81" i="126"/>
  <c r="K81" i="126"/>
  <c r="J81" i="126"/>
  <c r="I81" i="126"/>
  <c r="H81" i="126"/>
  <c r="G80" i="126"/>
  <c r="L79" i="126"/>
  <c r="L77" i="126" s="1"/>
  <c r="J79" i="126"/>
  <c r="O77" i="126"/>
  <c r="N77" i="126"/>
  <c r="M77" i="126"/>
  <c r="K77" i="126"/>
  <c r="I77" i="126"/>
  <c r="H77" i="126"/>
  <c r="G76" i="126"/>
  <c r="G75" i="126"/>
  <c r="O74" i="126"/>
  <c r="N74" i="126"/>
  <c r="M74" i="126"/>
  <c r="L74" i="126"/>
  <c r="K74" i="126"/>
  <c r="J74" i="126"/>
  <c r="I74" i="126"/>
  <c r="H74" i="126"/>
  <c r="G69" i="126"/>
  <c r="G68" i="126"/>
  <c r="O67" i="126"/>
  <c r="N67" i="126"/>
  <c r="M67" i="126"/>
  <c r="L67" i="126"/>
  <c r="K67" i="126"/>
  <c r="J67" i="126"/>
  <c r="I67" i="126"/>
  <c r="H67" i="126"/>
  <c r="G66" i="126"/>
  <c r="G65" i="126"/>
  <c r="O64" i="126"/>
  <c r="N64" i="126"/>
  <c r="M64" i="126"/>
  <c r="L64" i="126"/>
  <c r="K64" i="126"/>
  <c r="J64" i="126"/>
  <c r="I64" i="126"/>
  <c r="H64" i="126"/>
  <c r="K63" i="126"/>
  <c r="G63" i="126" s="1"/>
  <c r="K62" i="126"/>
  <c r="G62" i="126" s="1"/>
  <c r="O61" i="126"/>
  <c r="N61" i="126"/>
  <c r="M61" i="126"/>
  <c r="L61" i="126"/>
  <c r="J61" i="126"/>
  <c r="I61" i="126"/>
  <c r="H61" i="126"/>
  <c r="L60" i="126"/>
  <c r="K60" i="126"/>
  <c r="J60" i="126"/>
  <c r="L59" i="126"/>
  <c r="K59" i="126"/>
  <c r="J59" i="126"/>
  <c r="I59" i="126"/>
  <c r="O58" i="126"/>
  <c r="N58" i="126"/>
  <c r="M58" i="126"/>
  <c r="H58" i="126"/>
  <c r="L57" i="126"/>
  <c r="K57" i="126"/>
  <c r="J57" i="126"/>
  <c r="O56" i="126"/>
  <c r="O55" i="126" s="1"/>
  <c r="N56" i="126"/>
  <c r="N31" i="126" s="1"/>
  <c r="M56" i="126"/>
  <c r="M55" i="126" s="1"/>
  <c r="L56" i="126"/>
  <c r="K56" i="126"/>
  <c r="J56" i="126"/>
  <c r="I56" i="126"/>
  <c r="N55" i="126"/>
  <c r="I55" i="126"/>
  <c r="H55" i="126"/>
  <c r="G54" i="126"/>
  <c r="G53" i="126"/>
  <c r="O52" i="126"/>
  <c r="N52" i="126"/>
  <c r="M52" i="126"/>
  <c r="L52" i="126"/>
  <c r="K52" i="126"/>
  <c r="J52" i="126"/>
  <c r="I52" i="126"/>
  <c r="H52" i="126"/>
  <c r="G51" i="126"/>
  <c r="K50" i="126"/>
  <c r="K48" i="126" s="1"/>
  <c r="J50" i="126"/>
  <c r="O48" i="126"/>
  <c r="N48" i="126"/>
  <c r="M48" i="126"/>
  <c r="L48" i="126"/>
  <c r="I48" i="126"/>
  <c r="H48" i="126"/>
  <c r="G47" i="126"/>
  <c r="K46" i="126"/>
  <c r="G46" i="126" s="1"/>
  <c r="O44" i="126"/>
  <c r="N44" i="126"/>
  <c r="M44" i="126"/>
  <c r="L44" i="126"/>
  <c r="J44" i="126"/>
  <c r="I44" i="126"/>
  <c r="H44" i="126"/>
  <c r="G43" i="126"/>
  <c r="V42" i="126"/>
  <c r="J42" i="126"/>
  <c r="G42" i="126" s="1"/>
  <c r="G41" i="126" s="1"/>
  <c r="O41" i="126"/>
  <c r="N41" i="126"/>
  <c r="M41" i="126"/>
  <c r="L41" i="126"/>
  <c r="K41" i="126"/>
  <c r="I41" i="126"/>
  <c r="H41" i="126"/>
  <c r="L40" i="126"/>
  <c r="G40" i="126" s="1"/>
  <c r="J39" i="126"/>
  <c r="G39" i="126" s="1"/>
  <c r="O37" i="126"/>
  <c r="N37" i="126"/>
  <c r="M37" i="126"/>
  <c r="K37" i="126"/>
  <c r="I37" i="126"/>
  <c r="H37" i="126"/>
  <c r="G36" i="126"/>
  <c r="M35" i="126"/>
  <c r="M33" i="126" s="1"/>
  <c r="L35" i="126"/>
  <c r="L33" i="126" s="1"/>
  <c r="J35" i="126"/>
  <c r="O33" i="126"/>
  <c r="N33" i="126"/>
  <c r="K33" i="126"/>
  <c r="I33" i="126"/>
  <c r="H33" i="126"/>
  <c r="O32" i="126"/>
  <c r="N32" i="126"/>
  <c r="M32" i="126"/>
  <c r="I32" i="126"/>
  <c r="H32" i="126"/>
  <c r="H31" i="126"/>
  <c r="K27" i="126"/>
  <c r="J27" i="126"/>
  <c r="K26" i="126"/>
  <c r="K25" i="126" s="1"/>
  <c r="J26" i="126"/>
  <c r="O25" i="126"/>
  <c r="N25" i="126"/>
  <c r="M25" i="126"/>
  <c r="L25" i="126"/>
  <c r="I25" i="126"/>
  <c r="H25" i="126"/>
  <c r="M24" i="126"/>
  <c r="M22" i="126" s="1"/>
  <c r="L24" i="126"/>
  <c r="L21" i="126" s="1"/>
  <c r="K24" i="126"/>
  <c r="K21" i="126" s="1"/>
  <c r="J24" i="126"/>
  <c r="J21" i="126" s="1"/>
  <c r="I24" i="126"/>
  <c r="I21" i="126" s="1"/>
  <c r="L23" i="126"/>
  <c r="L22" i="126" s="1"/>
  <c r="K23" i="126"/>
  <c r="K22" i="126" s="1"/>
  <c r="J23" i="126"/>
  <c r="J22" i="126" s="1"/>
  <c r="I23" i="126"/>
  <c r="I22" i="126" s="1"/>
  <c r="O22" i="126"/>
  <c r="N22" i="126"/>
  <c r="H22" i="126"/>
  <c r="O21" i="126"/>
  <c r="N21" i="126"/>
  <c r="H21" i="126"/>
  <c r="O20" i="126"/>
  <c r="N20" i="126"/>
  <c r="M20" i="126"/>
  <c r="K20" i="126"/>
  <c r="H20" i="126"/>
  <c r="I169" i="126" l="1"/>
  <c r="I168" i="126" s="1"/>
  <c r="L31" i="126"/>
  <c r="J58" i="126"/>
  <c r="L58" i="126"/>
  <c r="H19" i="126"/>
  <c r="J183" i="126"/>
  <c r="G222" i="126"/>
  <c r="J221" i="126"/>
  <c r="L221" i="126"/>
  <c r="N221" i="126"/>
  <c r="M249" i="126"/>
  <c r="I270" i="126"/>
  <c r="G279" i="126"/>
  <c r="O180" i="126"/>
  <c r="G182" i="126"/>
  <c r="G184" i="126"/>
  <c r="L183" i="126"/>
  <c r="G186" i="126"/>
  <c r="M242" i="126"/>
  <c r="O242" i="126"/>
  <c r="J270" i="126"/>
  <c r="K32" i="126"/>
  <c r="G50" i="126"/>
  <c r="G48" i="126" s="1"/>
  <c r="G56" i="126"/>
  <c r="M72" i="126"/>
  <c r="G92" i="126"/>
  <c r="G96" i="126"/>
  <c r="I123" i="126"/>
  <c r="N150" i="126"/>
  <c r="N123" i="126" s="1"/>
  <c r="G174" i="126"/>
  <c r="N199" i="126"/>
  <c r="I199" i="126"/>
  <c r="G207" i="126"/>
  <c r="G210" i="126"/>
  <c r="K221" i="126"/>
  <c r="M221" i="126"/>
  <c r="O221" i="126"/>
  <c r="K244" i="126"/>
  <c r="G244" i="126" s="1"/>
  <c r="G245" i="126"/>
  <c r="G255" i="126"/>
  <c r="K271" i="126"/>
  <c r="G271" i="126" s="1"/>
  <c r="N19" i="126"/>
  <c r="O31" i="126"/>
  <c r="O29" i="126" s="1"/>
  <c r="K44" i="126"/>
  <c r="G57" i="126"/>
  <c r="L55" i="126"/>
  <c r="K58" i="126"/>
  <c r="G60" i="126"/>
  <c r="G67" i="126"/>
  <c r="G81" i="126"/>
  <c r="G87" i="126"/>
  <c r="N90" i="126"/>
  <c r="G97" i="126"/>
  <c r="I134" i="126"/>
  <c r="K158" i="126"/>
  <c r="J170" i="126"/>
  <c r="N180" i="126"/>
  <c r="G181" i="126"/>
  <c r="O168" i="126"/>
  <c r="K183" i="126"/>
  <c r="G185" i="126"/>
  <c r="G211" i="126"/>
  <c r="G217" i="126"/>
  <c r="H221" i="126"/>
  <c r="I221" i="126"/>
  <c r="G233" i="126"/>
  <c r="K124" i="126"/>
  <c r="L199" i="126"/>
  <c r="K199" i="126"/>
  <c r="O199" i="126"/>
  <c r="G26" i="126"/>
  <c r="G27" i="126"/>
  <c r="I31" i="126"/>
  <c r="I29" i="126" s="1"/>
  <c r="J32" i="126"/>
  <c r="L32" i="126"/>
  <c r="L29" i="126" s="1"/>
  <c r="M31" i="126"/>
  <c r="M29" i="126" s="1"/>
  <c r="G44" i="126"/>
  <c r="J48" i="126"/>
  <c r="G52" i="126"/>
  <c r="J55" i="126"/>
  <c r="K55" i="126"/>
  <c r="G59" i="126"/>
  <c r="G95" i="126"/>
  <c r="J94" i="126"/>
  <c r="L94" i="126"/>
  <c r="I94" i="126"/>
  <c r="G112" i="126"/>
  <c r="G131" i="126"/>
  <c r="G136" i="126"/>
  <c r="G156" i="126"/>
  <c r="N168" i="126"/>
  <c r="M200" i="126"/>
  <c r="G200" i="126" s="1"/>
  <c r="J201" i="126"/>
  <c r="G201" i="126" s="1"/>
  <c r="G206" i="126"/>
  <c r="L205" i="126"/>
  <c r="K205" i="126"/>
  <c r="G209" i="126"/>
  <c r="L208" i="126"/>
  <c r="I242" i="126"/>
  <c r="L270" i="126"/>
  <c r="N270" i="126"/>
  <c r="K273" i="126"/>
  <c r="G37" i="126"/>
  <c r="G120" i="126"/>
  <c r="G118" i="126" s="1"/>
  <c r="L118" i="126"/>
  <c r="N134" i="126"/>
  <c r="I149" i="126"/>
  <c r="I124" i="126"/>
  <c r="G153" i="126"/>
  <c r="G152" i="126" s="1"/>
  <c r="J152" i="126"/>
  <c r="L155" i="126"/>
  <c r="L150" i="126"/>
  <c r="L123" i="126" s="1"/>
  <c r="J180" i="126"/>
  <c r="J169" i="126"/>
  <c r="L180" i="126"/>
  <c r="L169" i="126"/>
  <c r="L168" i="126" s="1"/>
  <c r="K180" i="126"/>
  <c r="K170" i="126"/>
  <c r="K168" i="126" s="1"/>
  <c r="M180" i="126"/>
  <c r="M170" i="126"/>
  <c r="M168" i="126" s="1"/>
  <c r="G260" i="126"/>
  <c r="I251" i="126"/>
  <c r="G251" i="126" s="1"/>
  <c r="I20" i="126"/>
  <c r="I19" i="126" s="1"/>
  <c r="M21" i="126"/>
  <c r="M19" i="126" s="1"/>
  <c r="O284" i="126"/>
  <c r="J25" i="126"/>
  <c r="N29" i="126"/>
  <c r="G35" i="126"/>
  <c r="G33" i="126" s="1"/>
  <c r="J37" i="126"/>
  <c r="L37" i="126"/>
  <c r="G79" i="126"/>
  <c r="G77" i="126" s="1"/>
  <c r="J77" i="126"/>
  <c r="O90" i="126"/>
  <c r="O72" i="126"/>
  <c r="O71" i="126" s="1"/>
  <c r="J150" i="126"/>
  <c r="J123" i="126" s="1"/>
  <c r="G160" i="126"/>
  <c r="J158" i="126"/>
  <c r="G232" i="126"/>
  <c r="G230" i="126" s="1"/>
  <c r="I230" i="126"/>
  <c r="K243" i="126"/>
  <c r="K245" i="126"/>
  <c r="G64" i="126"/>
  <c r="G74" i="126"/>
  <c r="L72" i="126"/>
  <c r="G93" i="126"/>
  <c r="K90" i="126"/>
  <c r="G106" i="126"/>
  <c r="G109" i="126"/>
  <c r="G125" i="126"/>
  <c r="G128" i="126"/>
  <c r="G135" i="126"/>
  <c r="G134" i="126" s="1"/>
  <c r="K137" i="126"/>
  <c r="G139" i="126"/>
  <c r="G143" i="126"/>
  <c r="G146" i="126"/>
  <c r="G159" i="126"/>
  <c r="G158" i="126" s="1"/>
  <c r="L158" i="126"/>
  <c r="G161" i="126"/>
  <c r="G164" i="126"/>
  <c r="G177" i="126"/>
  <c r="G192" i="126"/>
  <c r="G195" i="126"/>
  <c r="G214" i="126"/>
  <c r="G224" i="126"/>
  <c r="G227" i="126"/>
  <c r="G239" i="126"/>
  <c r="G250" i="126"/>
  <c r="J249" i="126"/>
  <c r="L249" i="126"/>
  <c r="N249" i="126"/>
  <c r="K249" i="126"/>
  <c r="O249" i="126"/>
  <c r="G264" i="126"/>
  <c r="G277" i="126"/>
  <c r="G278" i="126"/>
  <c r="G140" i="126"/>
  <c r="K134" i="126"/>
  <c r="G138" i="126"/>
  <c r="L137" i="126"/>
  <c r="L140" i="126"/>
  <c r="N149" i="126"/>
  <c r="G157" i="126"/>
  <c r="G155" i="126" s="1"/>
  <c r="L124" i="126"/>
  <c r="G171" i="126"/>
  <c r="G189" i="126"/>
  <c r="G202" i="126"/>
  <c r="G223" i="126"/>
  <c r="G221" i="126" s="1"/>
  <c r="G236" i="126"/>
  <c r="K239" i="126"/>
  <c r="G243" i="126"/>
  <c r="J242" i="126"/>
  <c r="L242" i="126"/>
  <c r="N242" i="126"/>
  <c r="G252" i="126"/>
  <c r="G258" i="126"/>
  <c r="G261" i="126"/>
  <c r="G267" i="126"/>
  <c r="H270" i="126"/>
  <c r="M270" i="126"/>
  <c r="O270" i="126"/>
  <c r="G273" i="126"/>
  <c r="H276" i="126"/>
  <c r="J20" i="126"/>
  <c r="L20" i="126"/>
  <c r="G23" i="126"/>
  <c r="G24" i="126"/>
  <c r="J31" i="126"/>
  <c r="J33" i="126"/>
  <c r="I58" i="126"/>
  <c r="K61" i="126"/>
  <c r="N73" i="126"/>
  <c r="N284" i="126" s="1"/>
  <c r="G84" i="126"/>
  <c r="I90" i="126"/>
  <c r="G103" i="126"/>
  <c r="K112" i="126"/>
  <c r="G115" i="126"/>
  <c r="J125" i="126"/>
  <c r="K101" i="126"/>
  <c r="G61" i="126"/>
  <c r="L102" i="126"/>
  <c r="M73" i="126"/>
  <c r="K19" i="126"/>
  <c r="O19" i="126"/>
  <c r="H29" i="126"/>
  <c r="K31" i="126"/>
  <c r="J41" i="126"/>
  <c r="H94" i="126"/>
  <c r="M100" i="126"/>
  <c r="H103" i="126"/>
  <c r="L115" i="126"/>
  <c r="H122" i="126"/>
  <c r="J137" i="126"/>
  <c r="H149" i="126"/>
  <c r="K150" i="126"/>
  <c r="M150" i="126"/>
  <c r="O150" i="126"/>
  <c r="J151" i="126"/>
  <c r="H168" i="126"/>
  <c r="H199" i="126"/>
  <c r="J205" i="126"/>
  <c r="J208" i="126"/>
  <c r="H242" i="126"/>
  <c r="H249" i="126"/>
  <c r="I258" i="126"/>
  <c r="K267" i="126"/>
  <c r="K272" i="126"/>
  <c r="G272" i="126" s="1"/>
  <c r="G180" i="126" l="1"/>
  <c r="G94" i="126"/>
  <c r="K242" i="126"/>
  <c r="I122" i="126"/>
  <c r="G58" i="126"/>
  <c r="G90" i="126"/>
  <c r="G183" i="126"/>
  <c r="K29" i="126"/>
  <c r="G21" i="126"/>
  <c r="L149" i="126"/>
  <c r="G208" i="126"/>
  <c r="G55" i="126"/>
  <c r="N122" i="126"/>
  <c r="N283" i="126"/>
  <c r="J149" i="126"/>
  <c r="G22" i="126"/>
  <c r="G242" i="126"/>
  <c r="G137" i="126"/>
  <c r="J168" i="126"/>
  <c r="L122" i="126"/>
  <c r="G205" i="126"/>
  <c r="G199" i="126"/>
  <c r="G32" i="126"/>
  <c r="G25" i="126"/>
  <c r="M199" i="126"/>
  <c r="G270" i="126"/>
  <c r="M284" i="126"/>
  <c r="J29" i="126"/>
  <c r="G170" i="126"/>
  <c r="J199" i="126"/>
  <c r="G249" i="126"/>
  <c r="I249" i="126"/>
  <c r="M71" i="126"/>
  <c r="G276" i="126"/>
  <c r="G169" i="126"/>
  <c r="G168" i="126" s="1"/>
  <c r="N282" i="126"/>
  <c r="J19" i="126"/>
  <c r="G20" i="126"/>
  <c r="N71" i="126"/>
  <c r="L283" i="126"/>
  <c r="L19" i="126"/>
  <c r="M149" i="126"/>
  <c r="M123" i="126"/>
  <c r="O149" i="126"/>
  <c r="O123" i="126"/>
  <c r="K149" i="126"/>
  <c r="K123" i="126"/>
  <c r="K72" i="126"/>
  <c r="J101" i="126"/>
  <c r="K270" i="126"/>
  <c r="G151" i="126"/>
  <c r="J124" i="126"/>
  <c r="L73" i="126"/>
  <c r="K102" i="126"/>
  <c r="G150" i="126"/>
  <c r="G149" i="126" s="1"/>
  <c r="G31" i="126"/>
  <c r="L100" i="126"/>
  <c r="G29" i="126" l="1"/>
  <c r="G19" i="126"/>
  <c r="J102" i="126"/>
  <c r="J100" i="126" s="1"/>
  <c r="K73" i="126"/>
  <c r="K284" i="126" s="1"/>
  <c r="G124" i="126"/>
  <c r="J122" i="126"/>
  <c r="I101" i="126"/>
  <c r="J72" i="126"/>
  <c r="K122" i="126"/>
  <c r="G123" i="126"/>
  <c r="O122" i="126"/>
  <c r="O283" i="126"/>
  <c r="O282" i="126" s="1"/>
  <c r="L284" i="126"/>
  <c r="L282" i="126" s="1"/>
  <c r="L71" i="126"/>
  <c r="K283" i="126"/>
  <c r="K100" i="126"/>
  <c r="M122" i="126"/>
  <c r="M283" i="126"/>
  <c r="M282" i="126" s="1"/>
  <c r="G122" i="126" l="1"/>
  <c r="K71" i="126"/>
  <c r="K282" i="126"/>
  <c r="J283" i="126"/>
  <c r="I72" i="126"/>
  <c r="H101" i="126"/>
  <c r="J73" i="126"/>
  <c r="J284" i="126" s="1"/>
  <c r="I102" i="126"/>
  <c r="G101" i="126" l="1"/>
  <c r="H72" i="126"/>
  <c r="H102" i="126"/>
  <c r="I73" i="126"/>
  <c r="I284" i="126" s="1"/>
  <c r="I283" i="126"/>
  <c r="J282" i="126"/>
  <c r="I100" i="126"/>
  <c r="J71" i="126"/>
  <c r="I282" i="126" l="1"/>
  <c r="I71" i="126"/>
  <c r="H73" i="126"/>
  <c r="H71" i="126" s="1"/>
  <c r="G102" i="126"/>
  <c r="G100" i="126" s="1"/>
  <c r="G72" i="126"/>
  <c r="H283" i="126"/>
  <c r="H100" i="126"/>
  <c r="G283" i="126" l="1"/>
  <c r="G73" i="126"/>
  <c r="H284" i="126"/>
  <c r="G284" i="126" s="1"/>
  <c r="G71" i="126"/>
  <c r="H282" i="126" l="1"/>
  <c r="G282" i="126"/>
</calcChain>
</file>

<file path=xl/sharedStrings.xml><?xml version="1.0" encoding="utf-8"?>
<sst xmlns="http://schemas.openxmlformats.org/spreadsheetml/2006/main" count="1261" uniqueCount="152">
  <si>
    <t xml:space="preserve"> -</t>
  </si>
  <si>
    <t xml:space="preserve">Мероприятие 1:
Подписка на периодические издания  
</t>
  </si>
  <si>
    <t xml:space="preserve"> X  </t>
  </si>
  <si>
    <t xml:space="preserve">  X  </t>
  </si>
  <si>
    <t>X</t>
  </si>
  <si>
    <t xml:space="preserve">  X   </t>
  </si>
  <si>
    <t xml:space="preserve">Мероприятие 3
Проведение мероприятий
</t>
  </si>
  <si>
    <t xml:space="preserve">Мероприятие 6
Содержание библиотек
</t>
  </si>
  <si>
    <t xml:space="preserve">Мероприятие 4:
Поддержка одаренных детей
</t>
  </si>
  <si>
    <t xml:space="preserve"> X   </t>
  </si>
  <si>
    <t xml:space="preserve">   X   </t>
  </si>
  <si>
    <t>-</t>
  </si>
  <si>
    <t>Казенное учреждение «Центр финансово-экономического  развития и ресурсного обеспечения учреждений культуры Любинского муниципального района Омской области»</t>
  </si>
  <si>
    <t xml:space="preserve">Итого по            
подпрограмме 2     
муниципальной    
программы           </t>
  </si>
  <si>
    <t>Цель подпрограммы 2: муниципальной программы   
Создание благоприятных условий для укрепления единого культурного пространства, развития культурного и духовного потенциала населения, сохранения культурного наследия Любинского района и обеспечения свободы творчества и прав граждан на участие в культурной жизни.</t>
  </si>
  <si>
    <t>№</t>
  </si>
  <si>
    <t>Наименование показателя</t>
  </si>
  <si>
    <t>Срок реализации</t>
  </si>
  <si>
    <t>Финансовое обеспечение</t>
  </si>
  <si>
    <t xml:space="preserve">Целевые индикаторы реализации мероприятий (группы мероприятий) государственной </t>
  </si>
  <si>
    <t>программы</t>
  </si>
  <si>
    <t>Источник</t>
  </si>
  <si>
    <t>Объем (рублей)</t>
  </si>
  <si>
    <t>Наименование</t>
  </si>
  <si>
    <t>Единица</t>
  </si>
  <si>
    <t>Значение</t>
  </si>
  <si>
    <t>Всего</t>
  </si>
  <si>
    <t>в т.ч. по годам реализации муниципальной</t>
  </si>
  <si>
    <t>измерения</t>
  </si>
  <si>
    <t>в т.ч. по годам реализации муниципальной программы</t>
  </si>
  <si>
    <t>с</t>
  </si>
  <si>
    <t>по</t>
  </si>
  <si>
    <t>Х</t>
  </si>
  <si>
    <t>Всего, из них расходы за счёт: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</si>
  <si>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</si>
  <si>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</si>
  <si>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0,00</t>
  </si>
  <si>
    <t>Бюджетное учреждение Любинского муниципального района «Центр культуры и искусства Любинского муниципального района»</t>
  </si>
  <si>
    <t>Мероприятие 1:
Обеспечение доступа населения к музейным предметам и музейным коллекциям</t>
  </si>
  <si>
    <t>Основное  мероприятие 5:
Предоставление дополнительного образования детям</t>
  </si>
  <si>
    <t>Задача 2: Организация библиотечного  обслуживания населения Любинского муниципального района</t>
  </si>
  <si>
    <t xml:space="preserve">Основное мероприятие 3:
Осуществление культурно-досугового обслуживания населения Любинского муниципального района
</t>
  </si>
  <si>
    <t>Задача 1:
Осуществление финансово-экономического и ресурсного обеспечения учреждений культуры Любинского муниципального района</t>
  </si>
  <si>
    <t>Задача 5      
подпрограммы 2 
муниципальной программы:     
Предоставление дополнительного образования детям в образовательных учреждениях дополнительного образования детей в сфере культуры</t>
  </si>
  <si>
    <t xml:space="preserve">Основное        
мероприятие 2:
Осуществление  библиотечного, библиографического и  информационного  обслуживания населения Любинского муниципального района
   </t>
  </si>
  <si>
    <t>Задача 6      
подпрограммы 2 
муниципальной программы:     
                                                                          Показ кинофильмов</t>
  </si>
  <si>
    <t xml:space="preserve">Основное мероприятие 1:
Осуществление финансово-экономического и хозяйственного обеспечения учреждений  культуры Любинского муниципального района </t>
  </si>
  <si>
    <t>Мероприятие 1:
Финансово-экономическое и ресурсное обеспечение учреждений культуры Любинского муниципального района</t>
  </si>
  <si>
    <t xml:space="preserve">Мероприятие 4
Обеспечение широкополосного доступа к сети интернет
</t>
  </si>
  <si>
    <t xml:space="preserve">Мероприятие 5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</si>
  <si>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7
Материально-техническое оснащение учреждений
</t>
  </si>
  <si>
    <t>Мероприятие 8 :                Реализация прочих мероприятий</t>
  </si>
  <si>
    <t>Задача 3:        
подпрограммы 2 
муниципальной программы:     
Организация культурно-досугового обслуживания населения Любинского муниципального района</t>
  </si>
  <si>
    <t xml:space="preserve">Мероприятие 3:
Проведение мероприятий к памятным датам, профессиональным и социальным праздникам 
</t>
  </si>
  <si>
    <t xml:space="preserve">Мероприятие 5: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</si>
  <si>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6:
Содержание культурно-досуговых учреждений
</t>
  </si>
  <si>
    <t xml:space="preserve">Мероприятие 7:
Материально-техническое оснащение учреждений
</t>
  </si>
  <si>
    <t>Мероприятие 8:                                                Реализация прочих мероприятий</t>
  </si>
  <si>
    <t>Мероприятие 2:                                             Сохранение и популяризация объектов культурного наследия</t>
  </si>
  <si>
    <t>Основное мероприятие  6:                      Предоставление услуг культурно-досугового центра "Россия"</t>
  </si>
  <si>
    <t>увеличение численности посещений муниципальных библиотек Любинского района (по сравнению с предыдущим годом)</t>
  </si>
  <si>
    <t>%</t>
  </si>
  <si>
    <t>увеличение численности посещений культурно-досуговых мероприятий, проводимых на территории района (по сравнению с предыдущим годом)</t>
  </si>
  <si>
    <t>увеличение численности посещений муниципального музея (по сравнению с предыдущим годом)</t>
  </si>
  <si>
    <t>доля детей, получающих услуги в муниципальных учреждениях дополнительного образования детей Любинского района в сфере культуры, в общей численности детей, проживающих на территории района</t>
  </si>
  <si>
    <t>увеличение численности посещений киносеансов (по сравнению с предыдущим годом)</t>
  </si>
  <si>
    <t>увеличение численности посещений мероприятий ЦНК "Кладезь" (по сравнению с предыдущим годом)</t>
  </si>
  <si>
    <t xml:space="preserve">Соисполнитель, исполнитель основного мероприятия, исполнитель ведомственной целевой подпрограммы, исполнитель
</t>
  </si>
  <si>
    <t>Мероприятие 4:                     Содержание музея</t>
  </si>
  <si>
    <t xml:space="preserve">Мероприятие 3:                Подготовка и проведение мероприятий </t>
  </si>
  <si>
    <t>Мероприятие 5:             Материально-техническое оснащение учреждения</t>
  </si>
  <si>
    <t>Мероприятие 6:                 Реализация прочих мероприятий</t>
  </si>
  <si>
    <t>Мероприятие 1
Организация обучения по программам дополнительного образования различной направленности</t>
  </si>
  <si>
    <t>Мероприятие 2
Поддержка одаренных учащихся</t>
  </si>
  <si>
    <t>Мероприятие 3
Участие в конкурсах и фестивалях различного уровня</t>
  </si>
  <si>
    <t>Мероприятие 6
Реализация прочих мероприятий</t>
  </si>
  <si>
    <t>Мероприятие 5
Материально-техническое оснащение учреждений</t>
  </si>
  <si>
    <t>Мероприятие 4
Содержание учреждений дополнительного образования</t>
  </si>
  <si>
    <t xml:space="preserve">Мероприятие 1:                         Участие творческих коллективов и исполнителей муниципального района в областных праздниках, фестивалях 
</t>
  </si>
  <si>
    <t>Мероприятие 1
Организация кинообслуживания населения района</t>
  </si>
  <si>
    <t>Мероприятие 2
Содержание КДЦ "Россия"</t>
  </si>
  <si>
    <t>Мероприятие 3
Материально-техническое оснащение учреждения</t>
  </si>
  <si>
    <t>Мероприятие 4
Реализация прочих мероприятий</t>
  </si>
  <si>
    <t>Мероприятие 7:                      Предоставление услуг Центра национальных культур "Кладезь"</t>
  </si>
  <si>
    <t>Мероприятие 7.1
Организация работы по сохранению и развитию традиционных народных культур</t>
  </si>
  <si>
    <t>Мероприятие 7.2
Содержание ЦНК "Кладезь"</t>
  </si>
  <si>
    <t>Мероприятие 7.3
Материально-техническое оснащение учреждения</t>
  </si>
  <si>
    <t>Мероприятие 7. 4
Реализация прочих мероприятий</t>
  </si>
  <si>
    <t>Основное мероприятие  4:                      Предоставление услуг историко-краеведческого музея и Центра национальных культур "Кладезь"</t>
  </si>
  <si>
    <t>Бюджетное образовательное учреждение дополнительного образования Любинского муниципального района Омской области  «Детская школа искусств»</t>
  </si>
  <si>
    <t>Мероприятие 9:                                               Капитальный ремонт здания Увало-Ядринского сельского Дома культуры Любинского муниципального района Омской области</t>
  </si>
  <si>
    <t>Мероприятие 1
Государственная поддержка отрасли культура (модернизация учреждений культурно-досугового типа в сельской местности)                          Капитальный ремонт Увало-Ядринского сельского Дома культуры</t>
  </si>
  <si>
    <t xml:space="preserve"> в т.ч.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</t>
  </si>
  <si>
    <t xml:space="preserve"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</si>
  <si>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>в т.ч.  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</si>
  <si>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</si>
  <si>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</si>
  <si>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 xml:space="preserve">в т.ч. 
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</si>
  <si>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 xml:space="preserve">Мероприятие 3
Государственная поддержка отрасли культура (обеспечение учреждений культуры специализированным автотранспортом для обслуживания населения, в том числе сельского населения)  Приобретение для учреждений культуры передвижных многофункциональных центров (автоклубов)                               </t>
  </si>
  <si>
    <t>Мероприятие 4          Государственная поддержка отрасли культура    (приобретение музыкальных инструментов, оборудования и материалов для муниципальных детских школ искусств по видам искусств)                    Приобретение музыкальных инструментов, оборудования и материалов для детской школы искусств</t>
  </si>
  <si>
    <t>Мероприятие 7
Софинансирование расходов на модернизацию путем капитального ремонта муниципальных детских школ искусств по видам искусств.   Капитальный  ремонт здания  детской школы искусств, расположенного по адресу: Омская область, Любинский район, р.п. Любинский, ул. Победы, 12 Литера "А"</t>
  </si>
  <si>
    <t xml:space="preserve">Мероприятие 5
Государственная поддержка отрасли культура (софинансирование расходов на модернизацию путем капитального ремонта муниципальных детских школ искусств по видам искусств)                               </t>
  </si>
  <si>
    <t>Мероприятие 2
Государственная поддержка отрасли культура (модернизация учреждений культурно-досугового типа в сельской местности)                                   Капитальный ремонт Северо-Любинского сельского Дома культуры</t>
  </si>
  <si>
    <t xml:space="preserve"> СТРУКТУРА</t>
  </si>
  <si>
    <t xml:space="preserve">Мероприятие 10:                                                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         </t>
  </si>
  <si>
    <t xml:space="preserve">Мероприятие 11:                                            Софинансирование расходов на ремонт и материально-техническое оснащение объектов, находящихся в муниципальной собственности                                  </t>
  </si>
  <si>
    <t xml:space="preserve">Мероприятие 2
Комплектование книжных фондов. Комплектование книжных фондов общедоступных (публичных) библиотек муниципальных образований Омской области  
</t>
  </si>
  <si>
    <t xml:space="preserve">Мероприятие 12:                                            Развитие сети учреждений культурно-досугового типа.                                  Капитальный ремонт Любино-Малоросского сельского Дома культуры.  </t>
  </si>
  <si>
    <t>в т.ч.                                     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</si>
  <si>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</si>
  <si>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численность участников клубных формирований</t>
  </si>
  <si>
    <t>чел</t>
  </si>
  <si>
    <t>Реконструированы и (или) капитально отремонтированы региональные и муниципальные детские школы искусств по видам искусств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</si>
  <si>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</si>
  <si>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</t>
  </si>
  <si>
    <t>Доля работников муниципальных учреждений в сфере культуры, которым обеспечены гарантии</t>
  </si>
  <si>
    <t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</si>
  <si>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</si>
  <si>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Количество посещений муниципальных учреждений культуры по отношению к уровню 2010 года</t>
  </si>
  <si>
    <t>Количество муниципальных учреждений в сфере культуры, в которых проведен капитальный ремонт</t>
  </si>
  <si>
    <t>Построены (реконструированы) и (или) капитально отремонтированы культурно-досуго-вые организации в сельской местности</t>
  </si>
  <si>
    <t>Основное мероприятие  7:                   Реализация    федерального проекта "Культурная среда"</t>
  </si>
  <si>
    <t>Основное мероприятие  8:                   Реализация    федерального проекта "Творческие люди"</t>
  </si>
  <si>
    <t>Мероприятие 1
Государственная поддержка отрасли культура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</si>
  <si>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человек   </t>
  </si>
  <si>
    <t>единица</t>
  </si>
  <si>
    <t xml:space="preserve">Мероприятие 6
Государственная поддержка отрасли культура (развитие сети учреждений культурно-досугового типа)                               </t>
  </si>
  <si>
    <t xml:space="preserve">Оказана государственная поддержка лучшим работникам сельских учреждений культуры.              Оказана государственная поддержка лучшим сельским учреждениям культуры        </t>
  </si>
  <si>
    <t xml:space="preserve">Мероприятие 7.1
Софинансирование расходов на ремонт и материально-техническое оснащение объектов, находящихся в муниципальной собственности
</t>
  </si>
  <si>
    <t>Количество муниципальных учреждений в сфере культуры, в которых был проведен ремонт.      Количество муниципальных учреждений в сфере культуры, в которых произведено материально-техническое оснащение</t>
  </si>
  <si>
    <t>Мероприятие 13:                                                                            Развитие сети учреждений культурно-досугового типа. Капитальный ремонт Казанского СДК</t>
  </si>
  <si>
    <t xml:space="preserve">Мероприятие 5.1
Софинансирование расходов на ремонт и материально-техническое оснащение объектов, находящихся в муниципальной собственности
</t>
  </si>
  <si>
    <t xml:space="preserve">Основное мероприятие  9 :                   Реализация    инициативных проектов в сфере культуры </t>
  </si>
  <si>
    <t>Количество реализованных инициативных проектов в сфере культуры на территории муниципального образования</t>
  </si>
  <si>
    <t>Еди-ница</t>
  </si>
  <si>
    <t xml:space="preserve">  </t>
  </si>
  <si>
    <t>Задача 8
подпрограммы 2 
муниципальной программы:     
                                                                          Реализация инициативных проектов</t>
  </si>
  <si>
    <t>Мероприятие 1
Реализация    инициативных проектов в сфере культуры  на территориях муниципальных образований Омской области</t>
  </si>
  <si>
    <t>Мероприятие 14:                                                                            Развитие сети учреждений культурно-досугового типа. Капитальный ремонт Красноярского  ДК</t>
  </si>
  <si>
    <t>Задача 7    
подпрограммы 2 
муниципальной программы:     
Реализация национального проекта "Культура"</t>
  </si>
  <si>
    <t>Задача 4                                     Предоставление услуг муниципальных музеев, доступ населения к музейным ценностям. Содействие сохранению и развитию национальных культур народов, проживающих на территории  Любинского муниципального района</t>
  </si>
  <si>
    <t xml:space="preserve">Мероприятие 2:
Проведение районного смотра-конкурса "Живет село родное"
</t>
  </si>
  <si>
    <t>Муниципальной программы «Развитие социально-культурной сферы Любинского муниципального района Омской области» на 2019 – 2026 годы</t>
  </si>
  <si>
    <t xml:space="preserve">Подпрограмма 2: «Развитие отрасли «Культура» Любинского
муниципального района Омской области на 2019-2026 годы»
</t>
  </si>
  <si>
    <t>Мероприятие 5
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</t>
  </si>
  <si>
    <t xml:space="preserve">   Всего по муниципальной программе «Развитие социально-культурной сферы» </t>
  </si>
  <si>
    <t>Администрация Любинского муниципального района</t>
  </si>
  <si>
    <t xml:space="preserve">787 177 789,26  </t>
  </si>
  <si>
    <t xml:space="preserve">  804 928 684,00 </t>
  </si>
  <si>
    <t xml:space="preserve"> 470 384 875,00</t>
  </si>
  <si>
    <t xml:space="preserve"> 470 436 154,00</t>
  </si>
  <si>
    <t>3. 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</si>
</sst>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\ #,##0.00&quot;    &quot;;\-#,##0.00&quot;    &quot;;&quot; -&quot;#&quot;    &quot;;@\ "/>
    <numFmt numFmtId="166" formatCode="#,##0.00_ ;\-#,##0.00\ "/>
    <numFmt numFmtId="167" formatCode="#,##0.00_р_."/>
    <numFmt numFmtId="168" formatCode="0.0_ ;\-0.0\ "/>
  </numFmts>
  <fonts count="16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6"/>
      <color indexed="8"/>
      <name val="Calibri"/>
      <family val="2"/>
      <charset val="204"/>
    </font>
    <font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  <font>
      <sz val="2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1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1" fillId="0" borderId="0" applyFill="0" applyBorder="0" applyAlignment="0" applyProtection="0"/>
    <xf numFmtId="0" fontId="4" fillId="0" borderId="0"/>
    <xf numFmtId="0" fontId="1" fillId="0" borderId="0"/>
    <xf numFmtId="0" fontId="9" fillId="0" borderId="0"/>
  </cellStyleXfs>
  <cellXfs count="234">
    <xf numFmtId="0" fontId="0" fillId="0" borderId="0" xfId="0"/>
    <xf numFmtId="0" fontId="2" fillId="0" borderId="0" xfId="1"/>
    <xf numFmtId="0" fontId="2" fillId="0" borderId="0" xfId="1" applyAlignment="1">
      <alignment horizontal="center"/>
    </xf>
    <xf numFmtId="0" fontId="2" fillId="0" borderId="0" xfId="1" applyAlignment="1"/>
    <xf numFmtId="0" fontId="2" fillId="0" borderId="0" xfId="1" applyAlignment="1">
      <alignment horizontal="center" vertical="center"/>
    </xf>
    <xf numFmtId="0" fontId="2" fillId="0" borderId="0" xfId="1" applyBorder="1"/>
    <xf numFmtId="0" fontId="3" fillId="0" borderId="0" xfId="1" applyFont="1" applyAlignment="1">
      <alignment horizontal="center" vertical="center"/>
    </xf>
    <xf numFmtId="0" fontId="2" fillId="3" borderId="0" xfId="1" applyFill="1" applyAlignment="1">
      <alignment horizontal="center" vertical="center"/>
    </xf>
    <xf numFmtId="4" fontId="2" fillId="0" borderId="0" xfId="1" applyNumberFormat="1" applyAlignment="1">
      <alignment horizontal="center" vertical="center"/>
    </xf>
    <xf numFmtId="0" fontId="5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5" borderId="3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vertical="center" wrapText="1"/>
    </xf>
    <xf numFmtId="0" fontId="8" fillId="3" borderId="7" xfId="1" applyFont="1" applyFill="1" applyBorder="1" applyAlignment="1">
      <alignment horizontal="center"/>
    </xf>
    <xf numFmtId="0" fontId="10" fillId="5" borderId="3" xfId="1" applyFont="1" applyFill="1" applyBorder="1" applyAlignment="1">
      <alignment horizontal="center" vertical="center" wrapText="1"/>
    </xf>
    <xf numFmtId="165" fontId="10" fillId="5" borderId="3" xfId="1" applyNumberFormat="1" applyFont="1" applyFill="1" applyBorder="1" applyAlignment="1">
      <alignment horizontal="center" vertical="center" wrapText="1"/>
    </xf>
    <xf numFmtId="165" fontId="10" fillId="3" borderId="3" xfId="1" applyNumberFormat="1" applyFont="1" applyFill="1" applyBorder="1" applyAlignment="1">
      <alignment horizontal="center" vertical="center" wrapText="1"/>
    </xf>
    <xf numFmtId="0" fontId="8" fillId="3" borderId="0" xfId="1" applyFont="1" applyFill="1"/>
    <xf numFmtId="0" fontId="10" fillId="5" borderId="4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 vertical="center"/>
    </xf>
    <xf numFmtId="0" fontId="10" fillId="5" borderId="2" xfId="1" applyFont="1" applyFill="1" applyBorder="1" applyAlignment="1">
      <alignment horizontal="center" wrapText="1"/>
    </xf>
    <xf numFmtId="165" fontId="10" fillId="5" borderId="2" xfId="1" applyNumberFormat="1" applyFont="1" applyFill="1" applyBorder="1" applyAlignment="1">
      <alignment horizontal="center" vertical="center" wrapText="1"/>
    </xf>
    <xf numFmtId="165" fontId="10" fillId="3" borderId="2" xfId="1" applyNumberFormat="1" applyFont="1" applyFill="1" applyBorder="1" applyAlignment="1">
      <alignment horizontal="center" vertical="center" wrapText="1"/>
    </xf>
    <xf numFmtId="0" fontId="8" fillId="3" borderId="0" xfId="1" applyFont="1" applyFill="1" applyBorder="1"/>
    <xf numFmtId="167" fontId="10" fillId="5" borderId="2" xfId="1" applyNumberFormat="1" applyFont="1" applyFill="1" applyBorder="1" applyAlignment="1">
      <alignment horizontal="center" vertical="center" wrapText="1"/>
    </xf>
    <xf numFmtId="167" fontId="10" fillId="3" borderId="2" xfId="1" applyNumberFormat="1" applyFont="1" applyFill="1" applyBorder="1" applyAlignment="1">
      <alignment horizontal="center" vertical="center" wrapText="1"/>
    </xf>
    <xf numFmtId="4" fontId="12" fillId="5" borderId="2" xfId="2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vertical="center" wrapText="1"/>
    </xf>
    <xf numFmtId="167" fontId="10" fillId="5" borderId="8" xfId="1" applyNumberFormat="1" applyFont="1" applyFill="1" applyBorder="1" applyAlignment="1">
      <alignment horizontal="center" vertical="center" wrapText="1"/>
    </xf>
    <xf numFmtId="0" fontId="8" fillId="3" borderId="1" xfId="1" applyFont="1" applyFill="1" applyBorder="1"/>
    <xf numFmtId="167" fontId="10" fillId="5" borderId="16" xfId="1" applyNumberFormat="1" applyFont="1" applyFill="1" applyBorder="1" applyAlignment="1">
      <alignment horizontal="center" vertical="center" wrapText="1"/>
    </xf>
    <xf numFmtId="0" fontId="10" fillId="5" borderId="7" xfId="1" applyFont="1" applyFill="1" applyBorder="1" applyAlignment="1">
      <alignment horizontal="center" vertical="center" wrapText="1"/>
    </xf>
    <xf numFmtId="167" fontId="10" fillId="5" borderId="24" xfId="1" applyNumberFormat="1" applyFont="1" applyFill="1" applyBorder="1" applyAlignment="1">
      <alignment horizontal="center" vertical="center" wrapText="1"/>
    </xf>
    <xf numFmtId="167" fontId="10" fillId="5" borderId="3" xfId="1" applyNumberFormat="1" applyFont="1" applyFill="1" applyBorder="1" applyAlignment="1">
      <alignment horizontal="center" vertical="center" wrapText="1"/>
    </xf>
    <xf numFmtId="167" fontId="10" fillId="5" borderId="14" xfId="1" applyNumberFormat="1" applyFont="1" applyFill="1" applyBorder="1" applyAlignment="1">
      <alignment horizontal="center" vertical="center" wrapText="1"/>
    </xf>
    <xf numFmtId="167" fontId="10" fillId="5" borderId="25" xfId="1" applyNumberFormat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center" vertical="center" wrapText="1"/>
    </xf>
    <xf numFmtId="0" fontId="8" fillId="3" borderId="20" xfId="1" applyFont="1" applyFill="1" applyBorder="1"/>
    <xf numFmtId="0" fontId="8" fillId="3" borderId="12" xfId="1" applyFont="1" applyFill="1" applyBorder="1"/>
    <xf numFmtId="0" fontId="8" fillId="3" borderId="13" xfId="1" applyFont="1" applyFill="1" applyBorder="1"/>
    <xf numFmtId="0" fontId="8" fillId="3" borderId="23" xfId="1" applyFont="1" applyFill="1" applyBorder="1"/>
    <xf numFmtId="0" fontId="10" fillId="5" borderId="4" xfId="1" applyFont="1" applyFill="1" applyBorder="1" applyAlignment="1"/>
    <xf numFmtId="0" fontId="8" fillId="4" borderId="0" xfId="1" applyFont="1" applyFill="1" applyBorder="1"/>
    <xf numFmtId="0" fontId="8" fillId="4" borderId="0" xfId="1" applyFont="1" applyFill="1"/>
    <xf numFmtId="0" fontId="8" fillId="0" borderId="14" xfId="1" applyFont="1" applyBorder="1"/>
    <xf numFmtId="0" fontId="8" fillId="0" borderId="0" xfId="1" applyFont="1" applyBorder="1"/>
    <xf numFmtId="0" fontId="8" fillId="0" borderId="0" xfId="1" applyFont="1"/>
    <xf numFmtId="167" fontId="10" fillId="5" borderId="9" xfId="1" applyNumberFormat="1" applyFont="1" applyFill="1" applyBorder="1" applyAlignment="1">
      <alignment horizontal="center" vertical="center" wrapText="1"/>
    </xf>
    <xf numFmtId="0" fontId="8" fillId="0" borderId="21" xfId="1" applyFont="1" applyBorder="1"/>
    <xf numFmtId="167" fontId="10" fillId="3" borderId="3" xfId="1" applyNumberFormat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/>
    </xf>
    <xf numFmtId="167" fontId="10" fillId="5" borderId="10" xfId="1" applyNumberFormat="1" applyFont="1" applyFill="1" applyBorder="1" applyAlignment="1">
      <alignment horizontal="center" vertical="center" wrapText="1"/>
    </xf>
    <xf numFmtId="4" fontId="10" fillId="5" borderId="6" xfId="1" applyNumberFormat="1" applyFont="1" applyFill="1" applyBorder="1" applyAlignment="1">
      <alignment horizontal="center" vertical="center" wrapText="1"/>
    </xf>
    <xf numFmtId="0" fontId="8" fillId="0" borderId="26" xfId="1" applyFont="1" applyBorder="1"/>
    <xf numFmtId="0" fontId="10" fillId="0" borderId="28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top"/>
    </xf>
    <xf numFmtId="0" fontId="10" fillId="5" borderId="22" xfId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5" fillId="0" borderId="0" xfId="1" applyFont="1" applyBorder="1"/>
    <xf numFmtId="0" fontId="2" fillId="0" borderId="14" xfId="1" applyBorder="1"/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/>
    </xf>
    <xf numFmtId="0" fontId="10" fillId="5" borderId="2" xfId="1" applyFont="1" applyFill="1" applyBorder="1" applyAlignment="1">
      <alignment horizontal="center" vertical="center" wrapText="1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6" fillId="5" borderId="2" xfId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5" borderId="2" xfId="1" applyFont="1" applyFill="1" applyBorder="1" applyAlignment="1">
      <alignment horizontal="center" vertical="center" wrapText="1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/>
    </xf>
    <xf numFmtId="0" fontId="14" fillId="0" borderId="0" xfId="1" applyFont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9" xfId="1" applyFont="1" applyFill="1" applyBorder="1" applyAlignment="1">
      <alignment vertical="top" wrapText="1"/>
    </xf>
    <xf numFmtId="0" fontId="6" fillId="5" borderId="11" xfId="1" applyFont="1" applyFill="1" applyBorder="1" applyAlignment="1">
      <alignment horizontal="center" vertical="center" wrapText="1"/>
    </xf>
    <xf numFmtId="0" fontId="6" fillId="5" borderId="14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2" fillId="0" borderId="26" xfId="1" applyBorder="1"/>
    <xf numFmtId="0" fontId="2" fillId="0" borderId="21" xfId="1" applyBorder="1"/>
    <xf numFmtId="0" fontId="11" fillId="5" borderId="0" xfId="1" applyFont="1" applyFill="1" applyBorder="1" applyAlignment="1">
      <alignment horizontal="center" vertical="center" wrapText="1"/>
    </xf>
    <xf numFmtId="0" fontId="10" fillId="5" borderId="0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vertical="center" wrapText="1"/>
    </xf>
    <xf numFmtId="0" fontId="10" fillId="5" borderId="2" xfId="1" applyFont="1" applyFill="1" applyBorder="1" applyAlignment="1">
      <alignment horizontal="center"/>
    </xf>
    <xf numFmtId="0" fontId="11" fillId="5" borderId="2" xfId="1" applyFont="1" applyFill="1" applyBorder="1" applyAlignment="1">
      <alignment horizontal="center" vertical="center" wrapText="1"/>
    </xf>
    <xf numFmtId="0" fontId="10" fillId="5" borderId="19" xfId="1" applyFont="1" applyFill="1" applyBorder="1" applyAlignment="1">
      <alignment horizontal="center" vertical="center" wrapText="1"/>
    </xf>
    <xf numFmtId="0" fontId="10" fillId="5" borderId="12" xfId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10" fillId="3" borderId="5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167" fontId="10" fillId="3" borderId="6" xfId="1" applyNumberFormat="1" applyFont="1" applyFill="1" applyBorder="1" applyAlignment="1">
      <alignment horizontal="center" vertical="center" wrapText="1"/>
    </xf>
    <xf numFmtId="167" fontId="10" fillId="3" borderId="4" xfId="1" applyNumberFormat="1" applyFont="1" applyFill="1" applyBorder="1" applyAlignment="1">
      <alignment horizontal="center" vertical="center" wrapText="1"/>
    </xf>
    <xf numFmtId="0" fontId="10" fillId="6" borderId="0" xfId="1" applyFont="1" applyFill="1" applyBorder="1" applyAlignment="1">
      <alignment horizontal="center" vertical="center" wrapText="1"/>
    </xf>
    <xf numFmtId="0" fontId="10" fillId="5" borderId="17" xfId="1" applyFont="1" applyFill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/>
    </xf>
    <xf numFmtId="0" fontId="10" fillId="5" borderId="5" xfId="1" applyFont="1" applyFill="1" applyBorder="1" applyAlignment="1">
      <alignment horizontal="center"/>
    </xf>
    <xf numFmtId="0" fontId="10" fillId="5" borderId="4" xfId="1" applyFont="1" applyFill="1" applyBorder="1" applyAlignment="1">
      <alignment horizontal="center"/>
    </xf>
    <xf numFmtId="167" fontId="10" fillId="5" borderId="6" xfId="1" applyNumberFormat="1" applyFont="1" applyFill="1" applyBorder="1" applyAlignment="1">
      <alignment horizontal="center" vertical="center" wrapText="1"/>
    </xf>
    <xf numFmtId="167" fontId="10" fillId="5" borderId="4" xfId="1" applyNumberFormat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center" vertical="center" wrapText="1"/>
    </xf>
    <xf numFmtId="0" fontId="13" fillId="5" borderId="4" xfId="1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vertical="top" wrapText="1"/>
    </xf>
    <xf numFmtId="0" fontId="10" fillId="5" borderId="4" xfId="1" applyFont="1" applyFill="1" applyBorder="1" applyAlignment="1">
      <alignment horizontal="center" vertical="top" wrapText="1"/>
    </xf>
    <xf numFmtId="0" fontId="11" fillId="5" borderId="6" xfId="1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center" vertical="center" wrapText="1"/>
    </xf>
    <xf numFmtId="165" fontId="10" fillId="5" borderId="6" xfId="1" applyNumberFormat="1" applyFont="1" applyFill="1" applyBorder="1" applyAlignment="1">
      <alignment horizontal="center" vertical="center" wrapText="1"/>
    </xf>
    <xf numFmtId="165" fontId="10" fillId="5" borderId="5" xfId="1" applyNumberFormat="1" applyFont="1" applyFill="1" applyBorder="1" applyAlignment="1">
      <alignment horizontal="center" vertical="center" wrapText="1"/>
    </xf>
    <xf numFmtId="165" fontId="10" fillId="5" borderId="4" xfId="1" applyNumberFormat="1" applyFont="1" applyFill="1" applyBorder="1" applyAlignment="1">
      <alignment horizontal="center" vertical="center" wrapText="1"/>
    </xf>
    <xf numFmtId="166" fontId="10" fillId="5" borderId="17" xfId="1" applyNumberFormat="1" applyFont="1" applyFill="1" applyBorder="1" applyAlignment="1">
      <alignment horizontal="center" vertical="center" wrapText="1"/>
    </xf>
    <xf numFmtId="166" fontId="10" fillId="5" borderId="18" xfId="1" applyNumberFormat="1" applyFont="1" applyFill="1" applyBorder="1" applyAlignment="1">
      <alignment horizontal="center" vertical="center" wrapText="1"/>
    </xf>
    <xf numFmtId="166" fontId="10" fillId="5" borderId="19" xfId="1" applyNumberFormat="1" applyFont="1" applyFill="1" applyBorder="1" applyAlignment="1">
      <alignment horizontal="center" vertical="center" wrapText="1"/>
    </xf>
    <xf numFmtId="168" fontId="10" fillId="5" borderId="6" xfId="1" applyNumberFormat="1" applyFont="1" applyFill="1" applyBorder="1" applyAlignment="1">
      <alignment horizontal="center" vertical="center" wrapText="1"/>
    </xf>
    <xf numFmtId="168" fontId="10" fillId="5" borderId="5" xfId="1" applyNumberFormat="1" applyFont="1" applyFill="1" applyBorder="1" applyAlignment="1">
      <alignment horizontal="center" vertical="center" wrapText="1"/>
    </xf>
    <xf numFmtId="168" fontId="10" fillId="5" borderId="4" xfId="1" applyNumberFormat="1" applyFont="1" applyFill="1" applyBorder="1" applyAlignment="1">
      <alignment horizontal="center" vertical="center" wrapText="1"/>
    </xf>
    <xf numFmtId="168" fontId="10" fillId="5" borderId="17" xfId="1" applyNumberFormat="1" applyFont="1" applyFill="1" applyBorder="1" applyAlignment="1">
      <alignment horizontal="center" vertical="center" wrapText="1"/>
    </xf>
    <xf numFmtId="168" fontId="10" fillId="5" borderId="18" xfId="1" applyNumberFormat="1" applyFont="1" applyFill="1" applyBorder="1" applyAlignment="1">
      <alignment horizontal="center" vertical="center" wrapText="1"/>
    </xf>
    <xf numFmtId="168" fontId="10" fillId="5" borderId="19" xfId="1" applyNumberFormat="1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vertical="top" wrapText="1"/>
    </xf>
    <xf numFmtId="0" fontId="10" fillId="5" borderId="6" xfId="1" applyNumberFormat="1" applyFont="1" applyFill="1" applyBorder="1" applyAlignment="1">
      <alignment horizontal="center" vertical="top" wrapText="1"/>
    </xf>
    <xf numFmtId="0" fontId="10" fillId="5" borderId="5" xfId="1" applyNumberFormat="1" applyFont="1" applyFill="1" applyBorder="1" applyAlignment="1">
      <alignment horizontal="center" vertical="top" wrapText="1"/>
    </xf>
    <xf numFmtId="0" fontId="10" fillId="5" borderId="4" xfId="1" applyNumberFormat="1" applyFont="1" applyFill="1" applyBorder="1" applyAlignment="1">
      <alignment horizontal="center" vertical="top" wrapText="1"/>
    </xf>
    <xf numFmtId="0" fontId="10" fillId="5" borderId="11" xfId="1" applyFont="1" applyFill="1" applyBorder="1" applyAlignment="1">
      <alignment horizontal="center" vertical="center" wrapText="1"/>
    </xf>
    <xf numFmtId="0" fontId="10" fillId="5" borderId="15" xfId="1" applyFont="1" applyFill="1" applyBorder="1" applyAlignment="1">
      <alignment horizontal="center" vertical="center" wrapText="1"/>
    </xf>
    <xf numFmtId="0" fontId="10" fillId="5" borderId="10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5" borderId="6" xfId="1" applyFont="1" applyFill="1" applyBorder="1" applyAlignment="1">
      <alignment horizontal="center" wrapText="1"/>
    </xf>
    <xf numFmtId="0" fontId="10" fillId="5" borderId="5" xfId="1" applyFont="1" applyFill="1" applyBorder="1" applyAlignment="1">
      <alignment horizontal="center" wrapText="1"/>
    </xf>
    <xf numFmtId="0" fontId="11" fillId="5" borderId="18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6" xfId="1" applyFont="1" applyBorder="1" applyAlignment="1">
      <alignment vertical="center" wrapText="1"/>
    </xf>
    <xf numFmtId="0" fontId="10" fillId="0" borderId="27" xfId="1" applyFont="1" applyBorder="1" applyAlignment="1">
      <alignment vertical="center" wrapText="1"/>
    </xf>
    <xf numFmtId="0" fontId="10" fillId="0" borderId="21" xfId="1" applyFont="1" applyBorder="1" applyAlignment="1">
      <alignment vertical="center" wrapText="1"/>
    </xf>
    <xf numFmtId="0" fontId="10" fillId="0" borderId="21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/>
    </xf>
    <xf numFmtId="0" fontId="8" fillId="0" borderId="27" xfId="1" applyFont="1" applyBorder="1" applyAlignment="1">
      <alignment horizontal="center"/>
    </xf>
    <xf numFmtId="0" fontId="8" fillId="0" borderId="21" xfId="1" applyFont="1" applyBorder="1" applyAlignment="1">
      <alignment horizontal="center"/>
    </xf>
    <xf numFmtId="0" fontId="10" fillId="5" borderId="22" xfId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vertical="center" wrapText="1"/>
    </xf>
    <xf numFmtId="0" fontId="10" fillId="0" borderId="18" xfId="1" applyFont="1" applyBorder="1" applyAlignment="1">
      <alignment vertical="center" wrapText="1"/>
    </xf>
    <xf numFmtId="0" fontId="10" fillId="0" borderId="30" xfId="1" applyFont="1" applyBorder="1" applyAlignment="1">
      <alignment vertical="center" wrapText="1"/>
    </xf>
    <xf numFmtId="0" fontId="10" fillId="5" borderId="16" xfId="1" applyFont="1" applyFill="1" applyBorder="1" applyAlignment="1">
      <alignment horizontal="center" vertical="center" wrapText="1"/>
    </xf>
    <xf numFmtId="0" fontId="10" fillId="0" borderId="26" xfId="1" applyFont="1" applyBorder="1" applyAlignment="1">
      <alignment horizontal="center"/>
    </xf>
    <xf numFmtId="0" fontId="10" fillId="0" borderId="27" xfId="1" applyFont="1" applyBorder="1" applyAlignment="1">
      <alignment horizontal="center"/>
    </xf>
    <xf numFmtId="0" fontId="10" fillId="0" borderId="21" xfId="1" applyFont="1" applyBorder="1" applyAlignment="1">
      <alignment horizontal="center"/>
    </xf>
    <xf numFmtId="0" fontId="0" fillId="0" borderId="21" xfId="0" applyBorder="1" applyAlignment="1">
      <alignment vertical="center"/>
    </xf>
    <xf numFmtId="0" fontId="8" fillId="0" borderId="26" xfId="1" applyFont="1" applyBorder="1" applyAlignment="1">
      <alignment horizontal="center" vertical="top"/>
    </xf>
    <xf numFmtId="0" fontId="0" fillId="0" borderId="21" xfId="0" applyBorder="1"/>
    <xf numFmtId="0" fontId="15" fillId="0" borderId="21" xfId="0" applyFont="1" applyBorder="1" applyAlignment="1">
      <alignment vertical="center"/>
    </xf>
    <xf numFmtId="0" fontId="15" fillId="0" borderId="21" xfId="0" applyFont="1" applyBorder="1"/>
    <xf numFmtId="2" fontId="10" fillId="0" borderId="14" xfId="1" applyNumberFormat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/>
    <xf numFmtId="0" fontId="8" fillId="0" borderId="0" xfId="1" applyFont="1" applyFill="1" applyBorder="1"/>
    <xf numFmtId="0" fontId="11" fillId="0" borderId="5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/>
    </xf>
    <xf numFmtId="0" fontId="11" fillId="0" borderId="4" xfId="1" applyFont="1" applyFill="1" applyBorder="1" applyAlignment="1">
      <alignment horizontal="center" vertical="center" wrapText="1"/>
    </xf>
    <xf numFmtId="167" fontId="10" fillId="0" borderId="3" xfId="1" applyNumberFormat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vertical="center" wrapText="1"/>
    </xf>
    <xf numFmtId="0" fontId="10" fillId="0" borderId="26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/>
    </xf>
    <xf numFmtId="0" fontId="10" fillId="0" borderId="27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/>
    </xf>
    <xf numFmtId="0" fontId="10" fillId="0" borderId="21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 vertical="center" wrapText="1"/>
    </xf>
    <xf numFmtId="167" fontId="11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/>
    <xf numFmtId="0" fontId="11" fillId="0" borderId="5" xfId="1" applyFont="1" applyFill="1" applyBorder="1" applyAlignment="1">
      <alignment horizontal="center"/>
    </xf>
    <xf numFmtId="0" fontId="11" fillId="0" borderId="6" xfId="1" applyFont="1" applyFill="1" applyBorder="1" applyAlignment="1">
      <alignment horizontal="center" vertical="center" wrapText="1"/>
    </xf>
    <xf numFmtId="167" fontId="10" fillId="0" borderId="6" xfId="1" applyNumberFormat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/>
    </xf>
    <xf numFmtId="0" fontId="10" fillId="0" borderId="14" xfId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49" fontId="11" fillId="0" borderId="14" xfId="1" applyNumberFormat="1" applyFont="1" applyFill="1" applyBorder="1" applyAlignment="1">
      <alignment horizontal="center" vertical="center" wrapText="1"/>
    </xf>
  </cellXfs>
  <cellStyles count="6">
    <cellStyle name="Excel Built-in Normal" xfId="1"/>
    <cellStyle name="Денежный" xfId="2" builtinId="4"/>
    <cellStyle name="Обычный" xfId="0" builtinId="0"/>
    <cellStyle name="Обычный 2" xfId="3"/>
    <cellStyle name="Обычный 2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AZ292"/>
  <sheetViews>
    <sheetView tabSelected="1" view="pageBreakPreview" topLeftCell="A282" zoomScale="40" zoomScaleNormal="50" zoomScaleSheetLayoutView="40" workbookViewId="0">
      <selection activeCell="A285" sqref="A285:E288"/>
    </sheetView>
  </sheetViews>
  <sheetFormatPr defaultRowHeight="21" x14ac:dyDescent="0.35"/>
  <cols>
    <col min="1" max="1" width="7.7109375" style="1" customWidth="1"/>
    <col min="2" max="2" width="50.140625" style="2" customWidth="1"/>
    <col min="3" max="4" width="9.28515625" style="3" customWidth="1"/>
    <col min="5" max="5" width="29.28515625" style="1" customWidth="1"/>
    <col min="6" max="6" width="27.5703125" style="2" customWidth="1"/>
    <col min="7" max="7" width="40" style="4" customWidth="1"/>
    <col min="8" max="8" width="36.42578125" style="7" customWidth="1"/>
    <col min="9" max="9" width="39" style="7" customWidth="1"/>
    <col min="10" max="10" width="40.42578125" style="4" customWidth="1"/>
    <col min="11" max="11" width="40.140625" style="7" customWidth="1"/>
    <col min="12" max="12" width="43.42578125" style="7" customWidth="1"/>
    <col min="13" max="13" width="37.140625" style="7" customWidth="1"/>
    <col min="14" max="14" width="35.42578125" style="7" customWidth="1"/>
    <col min="15" max="15" width="38.28515625" style="7" customWidth="1"/>
    <col min="16" max="16" width="32.85546875" style="9" customWidth="1"/>
    <col min="17" max="18" width="9.28515625" style="9" customWidth="1"/>
    <col min="19" max="19" width="18.42578125" style="9" customWidth="1"/>
    <col min="20" max="20" width="17.28515625" style="9" customWidth="1"/>
    <col min="21" max="21" width="16.7109375" style="9" customWidth="1"/>
    <col min="22" max="22" width="17.140625" style="9" customWidth="1"/>
    <col min="23" max="23" width="18.140625" style="9" customWidth="1"/>
    <col min="24" max="24" width="17.42578125" style="9" customWidth="1"/>
    <col min="25" max="26" width="22" style="9" customWidth="1"/>
    <col min="27" max="52" width="9.140625" style="5" customWidth="1"/>
    <col min="53" max="16384" width="9.140625" style="1"/>
  </cols>
  <sheetData>
    <row r="3" spans="1:52" s="9" customFormat="1" ht="142.5" customHeight="1" x14ac:dyDescent="0.35">
      <c r="B3" s="63"/>
      <c r="C3" s="64"/>
      <c r="D3" s="64"/>
      <c r="F3" s="63"/>
      <c r="G3" s="65"/>
      <c r="H3" s="66"/>
      <c r="I3" s="66"/>
      <c r="J3" s="65"/>
      <c r="K3" s="66"/>
      <c r="L3" s="66"/>
      <c r="M3" s="66"/>
      <c r="N3" s="66"/>
      <c r="O3" s="66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</row>
    <row r="4" spans="1:52" s="9" customFormat="1" x14ac:dyDescent="0.35">
      <c r="A4" s="97" t="s">
        <v>103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</row>
    <row r="5" spans="1:52" s="9" customFormat="1" x14ac:dyDescent="0.35">
      <c r="A5" s="98" t="s">
        <v>142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</row>
    <row r="6" spans="1:52" x14ac:dyDescent="0.35">
      <c r="A6" s="6"/>
    </row>
    <row r="7" spans="1:52" ht="69" customHeight="1" x14ac:dyDescent="0.25">
      <c r="A7" s="99" t="s">
        <v>15</v>
      </c>
      <c r="B7" s="99" t="s">
        <v>16</v>
      </c>
      <c r="C7" s="99" t="s">
        <v>17</v>
      </c>
      <c r="D7" s="99"/>
      <c r="E7" s="99" t="s">
        <v>67</v>
      </c>
      <c r="F7" s="99" t="s">
        <v>18</v>
      </c>
      <c r="G7" s="99"/>
      <c r="H7" s="99"/>
      <c r="I7" s="99"/>
      <c r="J7" s="99"/>
      <c r="K7" s="99"/>
      <c r="L7" s="99"/>
      <c r="M7" s="99"/>
      <c r="N7" s="99"/>
      <c r="O7" s="100"/>
      <c r="P7" s="99" t="s">
        <v>19</v>
      </c>
      <c r="Q7" s="99"/>
      <c r="R7" s="99"/>
      <c r="S7" s="99"/>
      <c r="T7" s="99"/>
      <c r="U7" s="99"/>
      <c r="V7" s="99"/>
      <c r="W7" s="99"/>
      <c r="X7" s="99"/>
      <c r="Y7" s="103"/>
      <c r="Z7" s="68"/>
    </row>
    <row r="8" spans="1:52" ht="94.5" customHeight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101"/>
      <c r="P8" s="99" t="s">
        <v>20</v>
      </c>
      <c r="Q8" s="99"/>
      <c r="R8" s="99"/>
      <c r="S8" s="99"/>
      <c r="T8" s="99"/>
      <c r="U8" s="99"/>
      <c r="V8" s="99"/>
      <c r="W8" s="99"/>
      <c r="X8" s="99"/>
      <c r="Y8" s="103"/>
      <c r="Z8" s="68"/>
    </row>
    <row r="9" spans="1:52" ht="37.5" customHeight="1" x14ac:dyDescent="0.25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102"/>
      <c r="P9" s="108"/>
      <c r="Q9" s="108"/>
      <c r="R9" s="108"/>
      <c r="S9" s="108"/>
      <c r="T9" s="108"/>
      <c r="U9" s="108"/>
      <c r="V9" s="108"/>
      <c r="W9" s="108"/>
      <c r="X9" s="108"/>
      <c r="Y9" s="109"/>
      <c r="Z9" s="68"/>
    </row>
    <row r="10" spans="1:52" ht="37.5" customHeight="1" x14ac:dyDescent="0.25">
      <c r="A10" s="99"/>
      <c r="B10" s="99"/>
      <c r="C10" s="99"/>
      <c r="D10" s="99"/>
      <c r="E10" s="99"/>
      <c r="F10" s="99" t="s">
        <v>21</v>
      </c>
      <c r="G10" s="99" t="s">
        <v>22</v>
      </c>
      <c r="H10" s="99"/>
      <c r="I10" s="99"/>
      <c r="J10" s="99"/>
      <c r="K10" s="99"/>
      <c r="L10" s="99"/>
      <c r="M10" s="99"/>
      <c r="N10" s="99"/>
      <c r="O10" s="87"/>
      <c r="P10" s="99" t="s">
        <v>23</v>
      </c>
      <c r="Q10" s="87" t="s">
        <v>24</v>
      </c>
      <c r="R10" s="99" t="s">
        <v>25</v>
      </c>
      <c r="S10" s="99"/>
      <c r="T10" s="99"/>
      <c r="U10" s="99"/>
      <c r="V10" s="99"/>
      <c r="W10" s="99"/>
      <c r="X10" s="99"/>
      <c r="Y10" s="103"/>
      <c r="Z10" s="68"/>
    </row>
    <row r="11" spans="1:52" ht="37.5" customHeight="1" x14ac:dyDescent="0.25">
      <c r="A11" s="99"/>
      <c r="B11" s="99"/>
      <c r="C11" s="99"/>
      <c r="D11" s="99"/>
      <c r="E11" s="99"/>
      <c r="F11" s="99"/>
      <c r="G11" s="99" t="s">
        <v>26</v>
      </c>
      <c r="H11" s="99" t="s">
        <v>27</v>
      </c>
      <c r="I11" s="99"/>
      <c r="J11" s="99"/>
      <c r="K11" s="99"/>
      <c r="L11" s="99"/>
      <c r="M11" s="99"/>
      <c r="N11" s="99"/>
      <c r="O11" s="87"/>
      <c r="P11" s="99"/>
      <c r="Q11" s="87" t="s">
        <v>28</v>
      </c>
      <c r="R11" s="99" t="s">
        <v>26</v>
      </c>
      <c r="S11" s="99" t="s">
        <v>29</v>
      </c>
      <c r="T11" s="99"/>
      <c r="U11" s="99"/>
      <c r="V11" s="99"/>
      <c r="W11" s="99"/>
      <c r="X11" s="99"/>
      <c r="Y11" s="103"/>
      <c r="Z11" s="113"/>
    </row>
    <row r="12" spans="1:52" ht="30.75" customHeight="1" x14ac:dyDescent="0.25">
      <c r="A12" s="99"/>
      <c r="B12" s="99"/>
      <c r="C12" s="99"/>
      <c r="D12" s="99"/>
      <c r="E12" s="99"/>
      <c r="F12" s="99"/>
      <c r="G12" s="99"/>
      <c r="H12" s="99" t="s">
        <v>20</v>
      </c>
      <c r="I12" s="99"/>
      <c r="J12" s="99"/>
      <c r="K12" s="99"/>
      <c r="L12" s="99"/>
      <c r="M12" s="99"/>
      <c r="N12" s="99"/>
      <c r="O12" s="87"/>
      <c r="P12" s="99"/>
      <c r="Q12" s="91"/>
      <c r="R12" s="99"/>
      <c r="S12" s="99"/>
      <c r="T12" s="99"/>
      <c r="U12" s="99"/>
      <c r="V12" s="99"/>
      <c r="W12" s="99"/>
      <c r="X12" s="99"/>
      <c r="Y12" s="110"/>
      <c r="Z12" s="114"/>
    </row>
    <row r="13" spans="1:52" ht="12.75" customHeight="1" x14ac:dyDescent="0.25">
      <c r="A13" s="99"/>
      <c r="B13" s="99"/>
      <c r="C13" s="99" t="s">
        <v>30</v>
      </c>
      <c r="D13" s="99" t="s">
        <v>31</v>
      </c>
      <c r="E13" s="99"/>
      <c r="F13" s="99"/>
      <c r="G13" s="99"/>
      <c r="H13" s="107">
        <v>2019</v>
      </c>
      <c r="I13" s="99">
        <v>2020</v>
      </c>
      <c r="J13" s="99">
        <v>2021</v>
      </c>
      <c r="K13" s="99">
        <v>2022</v>
      </c>
      <c r="L13" s="99">
        <v>2023</v>
      </c>
      <c r="M13" s="99">
        <v>2024</v>
      </c>
      <c r="N13" s="99">
        <v>2025</v>
      </c>
      <c r="O13" s="99">
        <v>2026</v>
      </c>
      <c r="P13" s="99"/>
      <c r="Q13" s="91"/>
      <c r="R13" s="99"/>
      <c r="S13" s="99">
        <v>2019</v>
      </c>
      <c r="T13" s="99">
        <v>2020</v>
      </c>
      <c r="U13" s="99">
        <v>2021</v>
      </c>
      <c r="V13" s="99">
        <v>2022</v>
      </c>
      <c r="W13" s="99">
        <v>2023</v>
      </c>
      <c r="X13" s="103">
        <v>2024</v>
      </c>
      <c r="Y13" s="111">
        <v>2025</v>
      </c>
      <c r="Z13" s="111">
        <v>2026</v>
      </c>
    </row>
    <row r="14" spans="1:52" ht="33.75" customHeight="1" x14ac:dyDescent="0.25">
      <c r="A14" s="99"/>
      <c r="B14" s="99"/>
      <c r="C14" s="99"/>
      <c r="D14" s="99"/>
      <c r="E14" s="99"/>
      <c r="F14" s="99"/>
      <c r="G14" s="99"/>
      <c r="H14" s="107"/>
      <c r="I14" s="99"/>
      <c r="J14" s="99"/>
      <c r="K14" s="99"/>
      <c r="L14" s="99"/>
      <c r="M14" s="99"/>
      <c r="N14" s="99"/>
      <c r="O14" s="99"/>
      <c r="P14" s="99"/>
      <c r="Q14" s="91"/>
      <c r="R14" s="99"/>
      <c r="S14" s="99"/>
      <c r="T14" s="99"/>
      <c r="U14" s="99"/>
      <c r="V14" s="99"/>
      <c r="W14" s="99"/>
      <c r="X14" s="103"/>
      <c r="Y14" s="111"/>
      <c r="Z14" s="111"/>
    </row>
    <row r="15" spans="1:52" ht="23.25" x14ac:dyDescent="0.25">
      <c r="A15" s="87">
        <v>1</v>
      </c>
      <c r="B15" s="87">
        <v>2</v>
      </c>
      <c r="C15" s="87">
        <v>3</v>
      </c>
      <c r="D15" s="87">
        <v>4</v>
      </c>
      <c r="E15" s="87">
        <v>5</v>
      </c>
      <c r="F15" s="87">
        <v>6</v>
      </c>
      <c r="G15" s="87">
        <v>7</v>
      </c>
      <c r="H15" s="90">
        <v>8</v>
      </c>
      <c r="I15" s="87">
        <v>9</v>
      </c>
      <c r="J15" s="87">
        <v>10</v>
      </c>
      <c r="K15" s="87">
        <v>11</v>
      </c>
      <c r="L15" s="87">
        <v>12</v>
      </c>
      <c r="M15" s="92">
        <v>13</v>
      </c>
      <c r="N15" s="87">
        <v>14</v>
      </c>
      <c r="O15" s="87">
        <v>15</v>
      </c>
      <c r="P15" s="87">
        <v>16</v>
      </c>
      <c r="Q15" s="87">
        <v>17</v>
      </c>
      <c r="R15" s="87">
        <v>18</v>
      </c>
      <c r="S15" s="87">
        <v>19</v>
      </c>
      <c r="T15" s="87">
        <v>20</v>
      </c>
      <c r="U15" s="87">
        <v>21</v>
      </c>
      <c r="V15" s="87">
        <v>22</v>
      </c>
      <c r="W15" s="87">
        <v>23</v>
      </c>
      <c r="X15" s="88">
        <v>24</v>
      </c>
      <c r="Y15" s="89">
        <v>25</v>
      </c>
      <c r="Z15" s="89">
        <v>26</v>
      </c>
    </row>
    <row r="16" spans="1:52" s="22" customFormat="1" ht="166.5" customHeight="1" x14ac:dyDescent="0.4">
      <c r="A16" s="16"/>
      <c r="B16" s="79" t="s">
        <v>143</v>
      </c>
      <c r="C16" s="16"/>
      <c r="D16" s="17"/>
      <c r="E16" s="18"/>
      <c r="F16" s="19" t="s">
        <v>32</v>
      </c>
      <c r="G16" s="20" t="s">
        <v>32</v>
      </c>
      <c r="H16" s="21" t="s">
        <v>32</v>
      </c>
      <c r="I16" s="20" t="s">
        <v>32</v>
      </c>
      <c r="J16" s="20" t="s">
        <v>32</v>
      </c>
      <c r="K16" s="20" t="s">
        <v>32</v>
      </c>
      <c r="L16" s="20" t="s">
        <v>32</v>
      </c>
      <c r="M16" s="20" t="s">
        <v>32</v>
      </c>
      <c r="N16" s="20" t="s">
        <v>32</v>
      </c>
      <c r="O16" s="20" t="s">
        <v>32</v>
      </c>
      <c r="P16" s="112" t="s">
        <v>32</v>
      </c>
      <c r="Q16" s="112" t="s">
        <v>32</v>
      </c>
      <c r="R16" s="112" t="s">
        <v>32</v>
      </c>
      <c r="S16" s="112" t="s">
        <v>32</v>
      </c>
      <c r="T16" s="112" t="s">
        <v>32</v>
      </c>
      <c r="U16" s="112" t="s">
        <v>32</v>
      </c>
      <c r="V16" s="112" t="s">
        <v>32</v>
      </c>
      <c r="W16" s="112" t="s">
        <v>32</v>
      </c>
      <c r="X16" s="112" t="s">
        <v>32</v>
      </c>
      <c r="Y16" s="120" t="s">
        <v>32</v>
      </c>
      <c r="Z16" s="120" t="s">
        <v>32</v>
      </c>
      <c r="AA16" s="115"/>
      <c r="AB16" s="115"/>
      <c r="AC16" s="115"/>
      <c r="AD16" s="115"/>
      <c r="AE16" s="115"/>
      <c r="AF16" s="115"/>
      <c r="AG16" s="116"/>
      <c r="AH16" s="116"/>
      <c r="AI16" s="116"/>
      <c r="AJ16" s="116"/>
      <c r="AK16" s="116"/>
      <c r="AL16" s="116"/>
      <c r="AM16" s="116"/>
      <c r="AN16" s="116"/>
      <c r="AO16" s="115"/>
      <c r="AP16" s="115"/>
      <c r="AQ16" s="115"/>
      <c r="AR16" s="115"/>
      <c r="AS16" s="115"/>
      <c r="AT16" s="115"/>
      <c r="AU16" s="115"/>
      <c r="AV16" s="115"/>
      <c r="AW16" s="116"/>
      <c r="AX16" s="116"/>
      <c r="AY16" s="117"/>
      <c r="AZ16" s="117"/>
    </row>
    <row r="17" spans="1:52" s="22" customFormat="1" ht="396" customHeight="1" x14ac:dyDescent="0.4">
      <c r="A17" s="23"/>
      <c r="B17" s="79" t="s">
        <v>14</v>
      </c>
      <c r="C17" s="23"/>
      <c r="D17" s="17"/>
      <c r="F17" s="19" t="s">
        <v>32</v>
      </c>
      <c r="G17" s="20" t="s">
        <v>32</v>
      </c>
      <c r="H17" s="21" t="s">
        <v>32</v>
      </c>
      <c r="I17" s="20" t="s">
        <v>32</v>
      </c>
      <c r="J17" s="20" t="s">
        <v>32</v>
      </c>
      <c r="K17" s="20" t="s">
        <v>32</v>
      </c>
      <c r="L17" s="20" t="s">
        <v>32</v>
      </c>
      <c r="M17" s="20" t="s">
        <v>32</v>
      </c>
      <c r="N17" s="20" t="s">
        <v>32</v>
      </c>
      <c r="O17" s="20" t="s">
        <v>32</v>
      </c>
      <c r="P17" s="112"/>
      <c r="Q17" s="112"/>
      <c r="R17" s="112"/>
      <c r="S17" s="112"/>
      <c r="T17" s="112"/>
      <c r="U17" s="112"/>
      <c r="V17" s="112"/>
      <c r="W17" s="112"/>
      <c r="X17" s="112"/>
      <c r="Y17" s="121"/>
      <c r="Z17" s="121"/>
      <c r="AA17" s="115"/>
      <c r="AB17" s="115"/>
      <c r="AC17" s="115"/>
      <c r="AD17" s="115"/>
      <c r="AE17" s="115"/>
      <c r="AF17" s="115"/>
      <c r="AG17" s="116"/>
      <c r="AH17" s="116"/>
      <c r="AI17" s="116"/>
      <c r="AJ17" s="116"/>
      <c r="AK17" s="116"/>
      <c r="AL17" s="116"/>
      <c r="AM17" s="116"/>
      <c r="AN17" s="116"/>
      <c r="AO17" s="115"/>
      <c r="AP17" s="115"/>
      <c r="AQ17" s="115"/>
      <c r="AR17" s="115"/>
      <c r="AS17" s="115"/>
      <c r="AT17" s="115"/>
      <c r="AU17" s="115"/>
      <c r="AV17" s="115"/>
      <c r="AW17" s="116"/>
      <c r="AX17" s="116"/>
      <c r="AY17" s="117"/>
      <c r="AZ17" s="117"/>
    </row>
    <row r="18" spans="1:52" s="22" customFormat="1" ht="397.5" customHeight="1" x14ac:dyDescent="0.4">
      <c r="A18" s="17"/>
      <c r="B18" s="79" t="s">
        <v>42</v>
      </c>
      <c r="C18" s="24">
        <v>2019</v>
      </c>
      <c r="D18" s="24">
        <v>2026</v>
      </c>
      <c r="E18" s="25" t="s">
        <v>12</v>
      </c>
      <c r="F18" s="79" t="s">
        <v>32</v>
      </c>
      <c r="G18" s="26" t="s">
        <v>32</v>
      </c>
      <c r="H18" s="27" t="s">
        <v>32</v>
      </c>
      <c r="I18" s="26" t="s">
        <v>32</v>
      </c>
      <c r="J18" s="26" t="s">
        <v>32</v>
      </c>
      <c r="K18" s="26" t="s">
        <v>32</v>
      </c>
      <c r="L18" s="26" t="s">
        <v>32</v>
      </c>
      <c r="M18" s="26" t="s">
        <v>32</v>
      </c>
      <c r="N18" s="26" t="s">
        <v>32</v>
      </c>
      <c r="O18" s="26" t="s">
        <v>32</v>
      </c>
      <c r="P18" s="79" t="s">
        <v>32</v>
      </c>
      <c r="Q18" s="79" t="s">
        <v>32</v>
      </c>
      <c r="R18" s="79" t="s">
        <v>32</v>
      </c>
      <c r="S18" s="79" t="s">
        <v>32</v>
      </c>
      <c r="T18" s="79" t="s">
        <v>32</v>
      </c>
      <c r="U18" s="79" t="s">
        <v>32</v>
      </c>
      <c r="V18" s="79" t="s">
        <v>32</v>
      </c>
      <c r="W18" s="79" t="s">
        <v>32</v>
      </c>
      <c r="X18" s="79" t="s">
        <v>32</v>
      </c>
      <c r="Y18" s="84" t="s">
        <v>32</v>
      </c>
      <c r="Z18" s="84" t="s">
        <v>32</v>
      </c>
      <c r="AA18" s="85"/>
      <c r="AB18" s="85"/>
      <c r="AC18" s="85"/>
      <c r="AD18" s="85"/>
      <c r="AE18" s="85"/>
      <c r="AF18" s="85"/>
      <c r="AG18" s="86"/>
      <c r="AH18" s="86"/>
      <c r="AI18" s="86"/>
      <c r="AJ18" s="86"/>
      <c r="AK18" s="86"/>
      <c r="AL18" s="86"/>
      <c r="AM18" s="86"/>
      <c r="AN18" s="86"/>
      <c r="AO18" s="85"/>
      <c r="AP18" s="85"/>
      <c r="AQ18" s="85"/>
      <c r="AR18" s="85"/>
      <c r="AS18" s="85"/>
      <c r="AT18" s="85"/>
      <c r="AU18" s="85"/>
      <c r="AV18" s="85"/>
      <c r="AW18" s="86"/>
      <c r="AX18" s="86"/>
      <c r="AY18" s="82"/>
      <c r="AZ18" s="82"/>
    </row>
    <row r="19" spans="1:52" s="22" customFormat="1" ht="174" customHeight="1" x14ac:dyDescent="0.4">
      <c r="A19" s="118"/>
      <c r="B19" s="119" t="s">
        <v>46</v>
      </c>
      <c r="C19" s="118"/>
      <c r="D19" s="118"/>
      <c r="E19" s="118"/>
      <c r="F19" s="79" t="s">
        <v>33</v>
      </c>
      <c r="G19" s="29">
        <f t="shared" ref="G19:O19" si="0">G20+G21</f>
        <v>345725422.89999998</v>
      </c>
      <c r="H19" s="29">
        <f t="shared" si="0"/>
        <v>39119201.659999996</v>
      </c>
      <c r="I19" s="29">
        <f t="shared" si="0"/>
        <v>40609612.960000001</v>
      </c>
      <c r="J19" s="29">
        <f t="shared" si="0"/>
        <v>44788942.629999995</v>
      </c>
      <c r="K19" s="29">
        <f t="shared" si="0"/>
        <v>46829709.590000004</v>
      </c>
      <c r="L19" s="29">
        <f t="shared" si="0"/>
        <v>51324110.759999998</v>
      </c>
      <c r="M19" s="29">
        <f t="shared" si="0"/>
        <v>73240473.980000004</v>
      </c>
      <c r="N19" s="29">
        <f t="shared" si="0"/>
        <v>49813371.32</v>
      </c>
      <c r="O19" s="29">
        <f t="shared" si="0"/>
        <v>51676258.530000001</v>
      </c>
      <c r="P19" s="112" t="s">
        <v>2</v>
      </c>
      <c r="Q19" s="112" t="s">
        <v>3</v>
      </c>
      <c r="R19" s="112" t="s">
        <v>9</v>
      </c>
      <c r="S19" s="112" t="s">
        <v>3</v>
      </c>
      <c r="T19" s="112" t="s">
        <v>5</v>
      </c>
      <c r="U19" s="112" t="s">
        <v>2</v>
      </c>
      <c r="V19" s="112" t="s">
        <v>10</v>
      </c>
      <c r="W19" s="112" t="s">
        <v>3</v>
      </c>
      <c r="X19" s="112" t="s">
        <v>5</v>
      </c>
      <c r="Y19" s="121" t="s">
        <v>2</v>
      </c>
      <c r="Z19" s="121" t="s">
        <v>2</v>
      </c>
      <c r="AA19" s="85"/>
      <c r="AB19" s="85"/>
      <c r="AC19" s="85"/>
      <c r="AD19" s="85"/>
      <c r="AE19" s="85"/>
      <c r="AF19" s="85"/>
      <c r="AG19" s="86"/>
      <c r="AH19" s="86"/>
      <c r="AI19" s="86"/>
      <c r="AJ19" s="86"/>
      <c r="AK19" s="86"/>
      <c r="AL19" s="86"/>
      <c r="AM19" s="86"/>
      <c r="AN19" s="86"/>
      <c r="AO19" s="85"/>
      <c r="AP19" s="85"/>
      <c r="AQ19" s="85"/>
      <c r="AR19" s="85"/>
      <c r="AS19" s="85"/>
      <c r="AT19" s="85"/>
      <c r="AU19" s="85"/>
      <c r="AV19" s="85"/>
      <c r="AW19" s="86"/>
      <c r="AX19" s="86"/>
      <c r="AY19" s="82"/>
      <c r="AZ19" s="82"/>
    </row>
    <row r="20" spans="1:52" s="22" customFormat="1" ht="235.5" customHeight="1" x14ac:dyDescent="0.4">
      <c r="A20" s="118"/>
      <c r="B20" s="119"/>
      <c r="C20" s="118"/>
      <c r="D20" s="118"/>
      <c r="E20" s="118"/>
      <c r="F20" s="79" t="s">
        <v>34</v>
      </c>
      <c r="G20" s="29">
        <f>H20+I20+J20+K20+L20+M20+N20</f>
        <v>278192953.90999997</v>
      </c>
      <c r="H20" s="29">
        <f t="shared" ref="H20:L21" si="1">H23</f>
        <v>32814367.66</v>
      </c>
      <c r="I20" s="29">
        <f t="shared" si="1"/>
        <v>33366672.399999999</v>
      </c>
      <c r="J20" s="29">
        <f t="shared" si="1"/>
        <v>31978381.639999993</v>
      </c>
      <c r="K20" s="29">
        <f t="shared" si="1"/>
        <v>33828772.090000004</v>
      </c>
      <c r="L20" s="29">
        <f t="shared" si="1"/>
        <v>35333484.979999997</v>
      </c>
      <c r="M20" s="29">
        <f>M23</f>
        <v>61057903.82</v>
      </c>
      <c r="N20" s="29">
        <f>N23</f>
        <v>49813371.32</v>
      </c>
      <c r="O20" s="29">
        <f t="shared" ref="O20" si="2">O23</f>
        <v>51676258.530000001</v>
      </c>
      <c r="P20" s="112"/>
      <c r="Q20" s="112"/>
      <c r="R20" s="112"/>
      <c r="S20" s="112"/>
      <c r="T20" s="112"/>
      <c r="U20" s="112"/>
      <c r="V20" s="112"/>
      <c r="W20" s="112"/>
      <c r="X20" s="112"/>
      <c r="Y20" s="121"/>
      <c r="Z20" s="121"/>
      <c r="AA20" s="85"/>
      <c r="AB20" s="85"/>
      <c r="AC20" s="85"/>
      <c r="AD20" s="85"/>
      <c r="AE20" s="85"/>
      <c r="AF20" s="85"/>
      <c r="AG20" s="86"/>
      <c r="AH20" s="86"/>
      <c r="AI20" s="86"/>
      <c r="AJ20" s="86"/>
      <c r="AK20" s="86"/>
      <c r="AL20" s="86"/>
      <c r="AM20" s="86"/>
      <c r="AN20" s="86"/>
      <c r="AO20" s="85"/>
      <c r="AP20" s="85"/>
      <c r="AQ20" s="85"/>
      <c r="AR20" s="85"/>
      <c r="AS20" s="85"/>
      <c r="AT20" s="85"/>
      <c r="AU20" s="85"/>
      <c r="AV20" s="85"/>
      <c r="AW20" s="86"/>
      <c r="AX20" s="86"/>
      <c r="AY20" s="82"/>
      <c r="AZ20" s="82"/>
    </row>
    <row r="21" spans="1:52" s="22" customFormat="1" ht="174" customHeight="1" x14ac:dyDescent="0.4">
      <c r="A21" s="118"/>
      <c r="B21" s="119"/>
      <c r="C21" s="118"/>
      <c r="D21" s="118"/>
      <c r="E21" s="118"/>
      <c r="F21" s="79" t="s">
        <v>35</v>
      </c>
      <c r="G21" s="29">
        <f>H21+I21+J21+K21+L21+M21+N21</f>
        <v>67532468.989999995</v>
      </c>
      <c r="H21" s="29">
        <f t="shared" si="1"/>
        <v>6304834</v>
      </c>
      <c r="I21" s="29">
        <f t="shared" si="1"/>
        <v>7242940.5599999996</v>
      </c>
      <c r="J21" s="29">
        <f t="shared" si="1"/>
        <v>12810560.990000002</v>
      </c>
      <c r="K21" s="29">
        <f t="shared" si="1"/>
        <v>13000937.5</v>
      </c>
      <c r="L21" s="29">
        <f t="shared" si="1"/>
        <v>15990625.780000001</v>
      </c>
      <c r="M21" s="29">
        <f>M24</f>
        <v>12182570.16</v>
      </c>
      <c r="N21" s="29" t="str">
        <f>N24</f>
        <v>0,00</v>
      </c>
      <c r="O21" s="29" t="str">
        <f>O24</f>
        <v>0,00</v>
      </c>
      <c r="P21" s="112"/>
      <c r="Q21" s="112"/>
      <c r="R21" s="112"/>
      <c r="S21" s="112"/>
      <c r="T21" s="112"/>
      <c r="U21" s="112"/>
      <c r="V21" s="112"/>
      <c r="W21" s="112"/>
      <c r="X21" s="112"/>
      <c r="Y21" s="121"/>
      <c r="Z21" s="121"/>
      <c r="AA21" s="85"/>
      <c r="AB21" s="85"/>
      <c r="AC21" s="85"/>
      <c r="AD21" s="85"/>
      <c r="AE21" s="85"/>
      <c r="AF21" s="85"/>
      <c r="AG21" s="86"/>
      <c r="AH21" s="86"/>
      <c r="AI21" s="86"/>
      <c r="AJ21" s="86"/>
      <c r="AK21" s="86"/>
      <c r="AL21" s="86"/>
      <c r="AM21" s="86"/>
      <c r="AN21" s="86"/>
      <c r="AO21" s="85"/>
      <c r="AP21" s="85"/>
      <c r="AQ21" s="85"/>
      <c r="AR21" s="85"/>
      <c r="AS21" s="85"/>
      <c r="AT21" s="85"/>
      <c r="AU21" s="85"/>
      <c r="AV21" s="85"/>
      <c r="AW21" s="86"/>
      <c r="AX21" s="86"/>
      <c r="AY21" s="82"/>
      <c r="AZ21" s="82"/>
    </row>
    <row r="22" spans="1:52" s="22" customFormat="1" ht="174" customHeight="1" x14ac:dyDescent="0.4">
      <c r="A22" s="118"/>
      <c r="B22" s="112" t="s">
        <v>47</v>
      </c>
      <c r="C22" s="118"/>
      <c r="D22" s="118"/>
      <c r="E22" s="118"/>
      <c r="F22" s="79" t="s">
        <v>33</v>
      </c>
      <c r="G22" s="29">
        <f t="shared" ref="G22:O22" si="3">G23+G24</f>
        <v>345725422.89999998</v>
      </c>
      <c r="H22" s="29">
        <f t="shared" si="3"/>
        <v>39119201.659999996</v>
      </c>
      <c r="I22" s="29">
        <f t="shared" si="3"/>
        <v>40609612.960000001</v>
      </c>
      <c r="J22" s="29">
        <f t="shared" si="3"/>
        <v>44788942.629999995</v>
      </c>
      <c r="K22" s="29">
        <f t="shared" si="3"/>
        <v>46829709.590000004</v>
      </c>
      <c r="L22" s="29">
        <f t="shared" si="3"/>
        <v>51324110.759999998</v>
      </c>
      <c r="M22" s="29">
        <f t="shared" si="3"/>
        <v>73240473.980000004</v>
      </c>
      <c r="N22" s="29">
        <f t="shared" si="3"/>
        <v>49813371.32</v>
      </c>
      <c r="O22" s="29">
        <f t="shared" si="3"/>
        <v>51676258.530000001</v>
      </c>
      <c r="P22" s="112" t="s">
        <v>2</v>
      </c>
      <c r="Q22" s="112" t="s">
        <v>3</v>
      </c>
      <c r="R22" s="112" t="s">
        <v>9</v>
      </c>
      <c r="S22" s="112" t="s">
        <v>3</v>
      </c>
      <c r="T22" s="112" t="s">
        <v>5</v>
      </c>
      <c r="U22" s="112" t="s">
        <v>2</v>
      </c>
      <c r="V22" s="112" t="s">
        <v>10</v>
      </c>
      <c r="W22" s="112" t="s">
        <v>3</v>
      </c>
      <c r="X22" s="112" t="s">
        <v>5</v>
      </c>
      <c r="Y22" s="121" t="s">
        <v>2</v>
      </c>
      <c r="Z22" s="121" t="s">
        <v>2</v>
      </c>
      <c r="AA22" s="85"/>
      <c r="AB22" s="85"/>
      <c r="AC22" s="85"/>
      <c r="AD22" s="85"/>
      <c r="AE22" s="85"/>
      <c r="AF22" s="85"/>
      <c r="AG22" s="86"/>
      <c r="AH22" s="86"/>
      <c r="AI22" s="86"/>
      <c r="AJ22" s="86"/>
      <c r="AK22" s="86"/>
      <c r="AL22" s="86"/>
      <c r="AM22" s="86"/>
      <c r="AN22" s="86"/>
      <c r="AO22" s="85"/>
      <c r="AP22" s="85"/>
      <c r="AQ22" s="85"/>
      <c r="AR22" s="85"/>
      <c r="AS22" s="85"/>
      <c r="AT22" s="85"/>
      <c r="AU22" s="85"/>
      <c r="AV22" s="85"/>
      <c r="AW22" s="86"/>
      <c r="AX22" s="86"/>
      <c r="AY22" s="82"/>
      <c r="AZ22" s="82"/>
    </row>
    <row r="23" spans="1:52" s="22" customFormat="1" ht="240" customHeight="1" x14ac:dyDescent="0.4">
      <c r="A23" s="118"/>
      <c r="B23" s="112"/>
      <c r="C23" s="118"/>
      <c r="D23" s="118"/>
      <c r="E23" s="118"/>
      <c r="F23" s="79" t="s">
        <v>34</v>
      </c>
      <c r="G23" s="29">
        <f>H23+I23+J23+K23+L23+M23+N23</f>
        <v>278192953.90999997</v>
      </c>
      <c r="H23" s="30">
        <v>32814367.66</v>
      </c>
      <c r="I23" s="29">
        <f>33366672.4</f>
        <v>33366672.399999999</v>
      </c>
      <c r="J23" s="29">
        <f>38689253.27-5482123.78+249764.49-2447.76-3376-9467+421559.29+127310.91+517.81-517.81+571370.22-12843+200000-2788790.45+50788.11-129800-2988-28500+2433-33792.21-413070.22-108000-31528-48626.27-90740+373070.22-0.5+108000+31528+48626.77+4673.53-135612+103189.2+330000-71254.31+621+59153.13</f>
        <v>31978381.639999993</v>
      </c>
      <c r="K23" s="29">
        <f>37865085.68-2500872.3-755263.41-10874.1-30000-86528.19-22357-216506.5+1868731.93-77157-50000-1469756.78+1028405.65-1714135.89</f>
        <v>33828772.090000004</v>
      </c>
      <c r="L23" s="29">
        <f>45116085.23-335000+1345292.61-8665000-1108943.28+433034.5+83114.15+534409.9+96000+60000+16820+49600+88364.84-9484+226984-646831.42-1950961.55</f>
        <v>35333484.979999997</v>
      </c>
      <c r="M23" s="29">
        <f>54857992.72-2804486.16+9050+8319329.82+245417.44+65000+67500+23100+275000</f>
        <v>61057903.82</v>
      </c>
      <c r="N23" s="29">
        <v>49813371.32</v>
      </c>
      <c r="O23" s="29">
        <v>51676258.530000001</v>
      </c>
      <c r="P23" s="112"/>
      <c r="Q23" s="112"/>
      <c r="R23" s="112"/>
      <c r="S23" s="112"/>
      <c r="T23" s="112"/>
      <c r="U23" s="112"/>
      <c r="V23" s="112"/>
      <c r="W23" s="112"/>
      <c r="X23" s="112"/>
      <c r="Y23" s="121"/>
      <c r="Z23" s="121"/>
      <c r="AA23" s="85"/>
      <c r="AB23" s="85"/>
      <c r="AC23" s="85"/>
      <c r="AD23" s="85"/>
      <c r="AE23" s="85"/>
      <c r="AF23" s="85"/>
      <c r="AG23" s="86"/>
      <c r="AH23" s="86"/>
      <c r="AI23" s="86"/>
      <c r="AJ23" s="86"/>
      <c r="AK23" s="86"/>
      <c r="AL23" s="86"/>
      <c r="AM23" s="86"/>
      <c r="AN23" s="86"/>
      <c r="AO23" s="85"/>
      <c r="AP23" s="85"/>
      <c r="AQ23" s="85"/>
      <c r="AR23" s="85"/>
      <c r="AS23" s="85"/>
      <c r="AT23" s="85"/>
      <c r="AU23" s="85"/>
      <c r="AV23" s="85"/>
      <c r="AW23" s="86"/>
      <c r="AX23" s="86"/>
      <c r="AY23" s="82"/>
      <c r="AZ23" s="82"/>
    </row>
    <row r="24" spans="1:52" s="22" customFormat="1" ht="174" customHeight="1" x14ac:dyDescent="0.4">
      <c r="A24" s="118"/>
      <c r="B24" s="112"/>
      <c r="C24" s="118"/>
      <c r="D24" s="118"/>
      <c r="E24" s="118"/>
      <c r="F24" s="79" t="s">
        <v>35</v>
      </c>
      <c r="G24" s="29">
        <f>H24+I24+J24+K24+L24+M24+N24</f>
        <v>67532468.989999995</v>
      </c>
      <c r="H24" s="30">
        <v>6304834</v>
      </c>
      <c r="I24" s="29">
        <f>354656.72+6888283.84</f>
        <v>7242940.5599999996</v>
      </c>
      <c r="J24" s="29">
        <f>5482123.78+7264215+33792.21+30430</f>
        <v>12810560.990000002</v>
      </c>
      <c r="K24" s="29">
        <f>2500872.3+755263.41+10874.1+30000+86528.19+22357+216506.5+6621357+2757179</f>
        <v>13000937.5</v>
      </c>
      <c r="L24" s="29">
        <f>6612541.78+9378084</f>
        <v>15990625.780000001</v>
      </c>
      <c r="M24" s="29">
        <f>2804486.16+9378084</f>
        <v>12182570.16</v>
      </c>
      <c r="N24" s="29" t="s">
        <v>36</v>
      </c>
      <c r="O24" s="29" t="s">
        <v>36</v>
      </c>
      <c r="P24" s="112"/>
      <c r="Q24" s="112"/>
      <c r="R24" s="112"/>
      <c r="S24" s="112"/>
      <c r="T24" s="112"/>
      <c r="U24" s="112"/>
      <c r="V24" s="112"/>
      <c r="W24" s="112"/>
      <c r="X24" s="112"/>
      <c r="Y24" s="121"/>
      <c r="Z24" s="121"/>
      <c r="AA24" s="85"/>
      <c r="AB24" s="85"/>
      <c r="AC24" s="85"/>
      <c r="AD24" s="85"/>
      <c r="AE24" s="85"/>
      <c r="AF24" s="85"/>
      <c r="AG24" s="86"/>
      <c r="AH24" s="86"/>
      <c r="AI24" s="86"/>
      <c r="AJ24" s="86"/>
      <c r="AK24" s="86"/>
      <c r="AL24" s="86"/>
      <c r="AM24" s="86"/>
      <c r="AN24" s="86"/>
      <c r="AO24" s="85"/>
      <c r="AP24" s="85"/>
      <c r="AQ24" s="85"/>
      <c r="AR24" s="85"/>
      <c r="AS24" s="85"/>
      <c r="AT24" s="85"/>
      <c r="AU24" s="85"/>
      <c r="AV24" s="85"/>
      <c r="AW24" s="86"/>
      <c r="AX24" s="86"/>
      <c r="AY24" s="82"/>
      <c r="AZ24" s="82"/>
    </row>
    <row r="25" spans="1:52" s="22" customFormat="1" ht="203.25" customHeight="1" x14ac:dyDescent="0.4">
      <c r="A25" s="118"/>
      <c r="B25" s="112" t="s">
        <v>92</v>
      </c>
      <c r="C25" s="118"/>
      <c r="D25" s="118"/>
      <c r="E25" s="118"/>
      <c r="F25" s="79" t="s">
        <v>33</v>
      </c>
      <c r="G25" s="29">
        <f t="shared" ref="G25:O25" si="4">G26+G27</f>
        <v>49580784.82</v>
      </c>
      <c r="H25" s="29">
        <f t="shared" si="4"/>
        <v>6399524.7599999998</v>
      </c>
      <c r="I25" s="29">
        <f t="shared" si="4"/>
        <v>7028861.0599999996</v>
      </c>
      <c r="J25" s="29">
        <f t="shared" si="4"/>
        <v>7443516</v>
      </c>
      <c r="K25" s="29">
        <f t="shared" si="4"/>
        <v>9569935</v>
      </c>
      <c r="L25" s="29">
        <f t="shared" si="4"/>
        <v>9569474</v>
      </c>
      <c r="M25" s="29">
        <f t="shared" si="4"/>
        <v>9569474</v>
      </c>
      <c r="N25" s="29">
        <f t="shared" si="4"/>
        <v>0</v>
      </c>
      <c r="O25" s="29">
        <f t="shared" si="4"/>
        <v>0</v>
      </c>
      <c r="P25" s="104" t="s">
        <v>115</v>
      </c>
      <c r="Q25" s="79"/>
      <c r="R25" s="79"/>
      <c r="S25" s="79"/>
      <c r="T25" s="79"/>
      <c r="U25" s="79"/>
      <c r="V25" s="79"/>
      <c r="W25" s="79"/>
      <c r="X25" s="79"/>
      <c r="Y25" s="84"/>
      <c r="Z25" s="84"/>
      <c r="AA25" s="85"/>
      <c r="AB25" s="85"/>
      <c r="AC25" s="85"/>
      <c r="AD25" s="85"/>
      <c r="AE25" s="85"/>
      <c r="AF25" s="85"/>
      <c r="AG25" s="86"/>
      <c r="AH25" s="86"/>
      <c r="AI25" s="86"/>
      <c r="AJ25" s="86"/>
      <c r="AK25" s="86"/>
      <c r="AL25" s="86"/>
      <c r="AM25" s="86"/>
      <c r="AN25" s="86"/>
      <c r="AO25" s="85"/>
      <c r="AP25" s="85"/>
      <c r="AQ25" s="85"/>
      <c r="AR25" s="85"/>
      <c r="AS25" s="85"/>
      <c r="AT25" s="85"/>
      <c r="AU25" s="85"/>
      <c r="AV25" s="85"/>
      <c r="AW25" s="86"/>
      <c r="AX25" s="86"/>
      <c r="AY25" s="82"/>
      <c r="AZ25" s="82"/>
    </row>
    <row r="26" spans="1:52" s="22" customFormat="1" ht="231" customHeight="1" x14ac:dyDescent="0.4">
      <c r="A26" s="118"/>
      <c r="B26" s="112"/>
      <c r="C26" s="118"/>
      <c r="D26" s="118"/>
      <c r="E26" s="118"/>
      <c r="F26" s="79" t="s">
        <v>34</v>
      </c>
      <c r="G26" s="29">
        <f>H26+I26+J26+K26+L26+M26+N26</f>
        <v>991617.98</v>
      </c>
      <c r="H26" s="30">
        <v>127990.76</v>
      </c>
      <c r="I26" s="29">
        <v>140577.22</v>
      </c>
      <c r="J26" s="29">
        <f>148250+621</f>
        <v>148871</v>
      </c>
      <c r="K26" s="29">
        <f>135130+56269</f>
        <v>191399</v>
      </c>
      <c r="L26" s="29">
        <v>191390</v>
      </c>
      <c r="M26" s="29">
        <v>191390</v>
      </c>
      <c r="N26" s="29">
        <v>0</v>
      </c>
      <c r="O26" s="29">
        <v>0</v>
      </c>
      <c r="P26" s="105"/>
      <c r="Q26" s="79" t="s">
        <v>61</v>
      </c>
      <c r="R26" s="79"/>
      <c r="S26" s="79">
        <v>100</v>
      </c>
      <c r="T26" s="79">
        <v>100</v>
      </c>
      <c r="U26" s="79">
        <v>100</v>
      </c>
      <c r="V26" s="79">
        <v>100</v>
      </c>
      <c r="W26" s="79">
        <v>100</v>
      </c>
      <c r="X26" s="79">
        <v>100</v>
      </c>
      <c r="Y26" s="84">
        <v>100</v>
      </c>
      <c r="Z26" s="84">
        <v>100</v>
      </c>
      <c r="AA26" s="85"/>
      <c r="AB26" s="85"/>
      <c r="AC26" s="85"/>
      <c r="AD26" s="85"/>
      <c r="AE26" s="85"/>
      <c r="AF26" s="85"/>
      <c r="AG26" s="86"/>
      <c r="AH26" s="86"/>
      <c r="AI26" s="86"/>
      <c r="AJ26" s="86"/>
      <c r="AK26" s="86"/>
      <c r="AL26" s="86"/>
      <c r="AM26" s="86"/>
      <c r="AN26" s="86"/>
      <c r="AO26" s="85"/>
      <c r="AP26" s="85"/>
      <c r="AQ26" s="85"/>
      <c r="AR26" s="85"/>
      <c r="AS26" s="85"/>
      <c r="AT26" s="85"/>
      <c r="AU26" s="85"/>
      <c r="AV26" s="85"/>
      <c r="AW26" s="86"/>
      <c r="AX26" s="86"/>
      <c r="AY26" s="82"/>
      <c r="AZ26" s="82"/>
    </row>
    <row r="27" spans="1:52" s="22" customFormat="1" ht="174" customHeight="1" x14ac:dyDescent="0.4">
      <c r="A27" s="118"/>
      <c r="B27" s="112"/>
      <c r="C27" s="118"/>
      <c r="D27" s="118"/>
      <c r="E27" s="118"/>
      <c r="F27" s="79" t="s">
        <v>35</v>
      </c>
      <c r="G27" s="29">
        <f>H27+I27+J27+K27+L27+M27+N27</f>
        <v>48589166.840000004</v>
      </c>
      <c r="H27" s="30">
        <v>6271534</v>
      </c>
      <c r="I27" s="29">
        <v>6888283.8399999999</v>
      </c>
      <c r="J27" s="29">
        <f>7264215+30430</f>
        <v>7294645</v>
      </c>
      <c r="K27" s="29">
        <f>6621357+2757179</f>
        <v>9378536</v>
      </c>
      <c r="L27" s="29">
        <v>9378084</v>
      </c>
      <c r="M27" s="29">
        <v>9378084</v>
      </c>
      <c r="N27" s="29" t="s">
        <v>36</v>
      </c>
      <c r="O27" s="29" t="s">
        <v>36</v>
      </c>
      <c r="P27" s="106"/>
      <c r="Q27" s="79"/>
      <c r="R27" s="79"/>
      <c r="S27" s="79"/>
      <c r="T27" s="79"/>
      <c r="U27" s="79"/>
      <c r="V27" s="79"/>
      <c r="W27" s="79"/>
      <c r="X27" s="79"/>
      <c r="Y27" s="84"/>
      <c r="Z27" s="84"/>
      <c r="AA27" s="85"/>
      <c r="AB27" s="85"/>
      <c r="AC27" s="85"/>
      <c r="AD27" s="85"/>
      <c r="AE27" s="85"/>
      <c r="AF27" s="85"/>
      <c r="AG27" s="86"/>
      <c r="AH27" s="86"/>
      <c r="AI27" s="86"/>
      <c r="AJ27" s="86"/>
      <c r="AK27" s="86"/>
      <c r="AL27" s="86"/>
      <c r="AM27" s="86"/>
      <c r="AN27" s="86"/>
      <c r="AO27" s="85"/>
      <c r="AP27" s="85"/>
      <c r="AQ27" s="85"/>
      <c r="AR27" s="85"/>
      <c r="AS27" s="85"/>
      <c r="AT27" s="85"/>
      <c r="AU27" s="85"/>
      <c r="AV27" s="85"/>
      <c r="AW27" s="86"/>
      <c r="AX27" s="86"/>
      <c r="AY27" s="82"/>
      <c r="AZ27" s="82"/>
    </row>
    <row r="28" spans="1:52" s="22" customFormat="1" ht="213" customHeight="1" x14ac:dyDescent="0.4">
      <c r="A28" s="17"/>
      <c r="B28" s="79" t="s">
        <v>40</v>
      </c>
      <c r="C28" s="79">
        <v>2019</v>
      </c>
      <c r="D28" s="79">
        <v>2026</v>
      </c>
      <c r="E28" s="104" t="s">
        <v>37</v>
      </c>
      <c r="F28" s="79" t="s">
        <v>32</v>
      </c>
      <c r="G28" s="29" t="s">
        <v>32</v>
      </c>
      <c r="H28" s="30" t="s">
        <v>32</v>
      </c>
      <c r="I28" s="29" t="s">
        <v>32</v>
      </c>
      <c r="J28" s="29" t="s">
        <v>32</v>
      </c>
      <c r="K28" s="29" t="s">
        <v>32</v>
      </c>
      <c r="L28" s="29" t="s">
        <v>32</v>
      </c>
      <c r="M28" s="29" t="s">
        <v>32</v>
      </c>
      <c r="N28" s="29" t="s">
        <v>32</v>
      </c>
      <c r="O28" s="29" t="s">
        <v>32</v>
      </c>
      <c r="P28" s="79" t="s">
        <v>32</v>
      </c>
      <c r="Q28" s="79" t="s">
        <v>32</v>
      </c>
      <c r="R28" s="79" t="s">
        <v>32</v>
      </c>
      <c r="S28" s="79" t="s">
        <v>32</v>
      </c>
      <c r="T28" s="79" t="s">
        <v>32</v>
      </c>
      <c r="U28" s="79" t="s">
        <v>32</v>
      </c>
      <c r="V28" s="79" t="s">
        <v>32</v>
      </c>
      <c r="W28" s="79" t="s">
        <v>32</v>
      </c>
      <c r="X28" s="79" t="s">
        <v>32</v>
      </c>
      <c r="Y28" s="84" t="s">
        <v>32</v>
      </c>
      <c r="Z28" s="84" t="s">
        <v>32</v>
      </c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32"/>
      <c r="AP28" s="132"/>
      <c r="AQ28" s="122"/>
      <c r="AR28" s="122"/>
      <c r="AS28" s="122"/>
      <c r="AT28" s="122"/>
      <c r="AU28" s="122"/>
      <c r="AV28" s="122"/>
      <c r="AW28" s="122"/>
      <c r="AX28" s="122"/>
      <c r="AY28" s="117"/>
      <c r="AZ28" s="117"/>
    </row>
    <row r="29" spans="1:52" s="22" customFormat="1" ht="174" customHeight="1" x14ac:dyDescent="0.4">
      <c r="A29" s="123"/>
      <c r="B29" s="124" t="s">
        <v>44</v>
      </c>
      <c r="C29" s="127"/>
      <c r="D29" s="127"/>
      <c r="E29" s="105"/>
      <c r="F29" s="127" t="s">
        <v>33</v>
      </c>
      <c r="G29" s="130">
        <f t="shared" ref="G29:O29" si="5">G31+G32</f>
        <v>110515272</v>
      </c>
      <c r="H29" s="130">
        <f t="shared" si="5"/>
        <v>13597583.66</v>
      </c>
      <c r="I29" s="130">
        <f t="shared" si="5"/>
        <v>13557021.48</v>
      </c>
      <c r="J29" s="130">
        <f t="shared" si="5"/>
        <v>16390391.770000001</v>
      </c>
      <c r="K29" s="130">
        <f t="shared" si="5"/>
        <v>23713384.32</v>
      </c>
      <c r="L29" s="130">
        <f t="shared" si="5"/>
        <v>17146899.740000002</v>
      </c>
      <c r="M29" s="130">
        <f t="shared" si="5"/>
        <v>15571603.029999999</v>
      </c>
      <c r="N29" s="130">
        <f t="shared" si="5"/>
        <v>10538388</v>
      </c>
      <c r="O29" s="130">
        <f t="shared" si="5"/>
        <v>10538388</v>
      </c>
      <c r="P29" s="104" t="s">
        <v>60</v>
      </c>
      <c r="Q29" s="104" t="s">
        <v>61</v>
      </c>
      <c r="R29" s="104" t="s">
        <v>0</v>
      </c>
      <c r="S29" s="104">
        <v>0.1</v>
      </c>
      <c r="T29" s="104">
        <v>0.1</v>
      </c>
      <c r="U29" s="104">
        <v>0.1</v>
      </c>
      <c r="V29" s="104">
        <v>0.1</v>
      </c>
      <c r="W29" s="104">
        <v>0.1</v>
      </c>
      <c r="X29" s="104">
        <v>0.1</v>
      </c>
      <c r="Y29" s="133">
        <v>0.1</v>
      </c>
      <c r="Z29" s="133">
        <v>0.1</v>
      </c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</row>
    <row r="30" spans="1:52" s="22" customFormat="1" ht="174" customHeight="1" x14ac:dyDescent="0.4">
      <c r="A30" s="123"/>
      <c r="B30" s="125"/>
      <c r="C30" s="128"/>
      <c r="D30" s="128"/>
      <c r="E30" s="105"/>
      <c r="F30" s="129"/>
      <c r="G30" s="131"/>
      <c r="H30" s="131"/>
      <c r="I30" s="131"/>
      <c r="J30" s="131"/>
      <c r="K30" s="131"/>
      <c r="L30" s="131"/>
      <c r="M30" s="131"/>
      <c r="N30" s="131"/>
      <c r="O30" s="131"/>
      <c r="P30" s="105"/>
      <c r="Q30" s="105"/>
      <c r="R30" s="105"/>
      <c r="S30" s="105"/>
      <c r="T30" s="105"/>
      <c r="U30" s="105"/>
      <c r="V30" s="105"/>
      <c r="W30" s="105"/>
      <c r="X30" s="105"/>
      <c r="Y30" s="134"/>
      <c r="Z30" s="134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</row>
    <row r="31" spans="1:52" s="22" customFormat="1" ht="229.5" customHeight="1" x14ac:dyDescent="0.4">
      <c r="A31" s="123"/>
      <c r="B31" s="125"/>
      <c r="C31" s="128"/>
      <c r="D31" s="128"/>
      <c r="E31" s="105"/>
      <c r="F31" s="83" t="s">
        <v>34</v>
      </c>
      <c r="G31" s="30">
        <f>SUM(H31:N31)</f>
        <v>82484099.629999995</v>
      </c>
      <c r="H31" s="30">
        <f t="shared" ref="H31:O32" si="6">H35+H39+H46+H50+H53+H56+H62+H68</f>
        <v>10950356.439999999</v>
      </c>
      <c r="I31" s="30">
        <f t="shared" si="6"/>
        <v>10810602.120000001</v>
      </c>
      <c r="J31" s="30">
        <f t="shared" si="6"/>
        <v>13002568.960000001</v>
      </c>
      <c r="K31" s="30">
        <f t="shared" si="6"/>
        <v>17337211.59</v>
      </c>
      <c r="L31" s="30">
        <f t="shared" si="6"/>
        <v>10429851.08</v>
      </c>
      <c r="M31" s="30">
        <f t="shared" si="6"/>
        <v>9415121.4399999995</v>
      </c>
      <c r="N31" s="30">
        <f t="shared" si="6"/>
        <v>10538388</v>
      </c>
      <c r="O31" s="30">
        <f t="shared" si="6"/>
        <v>10538388</v>
      </c>
      <c r="P31" s="105"/>
      <c r="Q31" s="105"/>
      <c r="R31" s="105"/>
      <c r="S31" s="105"/>
      <c r="T31" s="105"/>
      <c r="U31" s="105"/>
      <c r="V31" s="105"/>
      <c r="W31" s="105"/>
      <c r="X31" s="105"/>
      <c r="Y31" s="134"/>
      <c r="Z31" s="134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</row>
    <row r="32" spans="1:52" s="22" customFormat="1" ht="174" customHeight="1" x14ac:dyDescent="0.4">
      <c r="A32" s="123"/>
      <c r="B32" s="126"/>
      <c r="C32" s="129"/>
      <c r="D32" s="129"/>
      <c r="E32" s="106"/>
      <c r="F32" s="83" t="s">
        <v>35</v>
      </c>
      <c r="G32" s="30">
        <f>SUM(H32:N32)</f>
        <v>28031172.370000001</v>
      </c>
      <c r="H32" s="30">
        <f t="shared" si="6"/>
        <v>2647227.2199999997</v>
      </c>
      <c r="I32" s="30">
        <f t="shared" si="6"/>
        <v>2746419.36</v>
      </c>
      <c r="J32" s="30">
        <f t="shared" si="6"/>
        <v>3387822.81</v>
      </c>
      <c r="K32" s="30">
        <f t="shared" si="6"/>
        <v>6376172.7299999995</v>
      </c>
      <c r="L32" s="30">
        <f t="shared" si="6"/>
        <v>6717048.6600000001</v>
      </c>
      <c r="M32" s="30">
        <f t="shared" si="6"/>
        <v>6156481.5899999999</v>
      </c>
      <c r="N32" s="30">
        <f t="shared" si="6"/>
        <v>0</v>
      </c>
      <c r="O32" s="30">
        <f t="shared" si="6"/>
        <v>0</v>
      </c>
      <c r="P32" s="106"/>
      <c r="Q32" s="106"/>
      <c r="R32" s="106"/>
      <c r="S32" s="106"/>
      <c r="T32" s="106"/>
      <c r="U32" s="106"/>
      <c r="V32" s="106"/>
      <c r="W32" s="106"/>
      <c r="X32" s="106"/>
      <c r="Y32" s="120"/>
      <c r="Z32" s="120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</row>
    <row r="33" spans="1:52" s="22" customFormat="1" ht="127.5" customHeight="1" x14ac:dyDescent="0.4">
      <c r="A33" s="118"/>
      <c r="B33" s="104" t="s">
        <v>1</v>
      </c>
      <c r="C33" s="135"/>
      <c r="D33" s="135"/>
      <c r="E33" s="135"/>
      <c r="F33" s="104" t="s">
        <v>33</v>
      </c>
      <c r="G33" s="130">
        <f t="shared" ref="G33:O33" si="7">G35+G36</f>
        <v>1206448.3800000001</v>
      </c>
      <c r="H33" s="130">
        <f t="shared" si="7"/>
        <v>182499.31</v>
      </c>
      <c r="I33" s="130">
        <f t="shared" si="7"/>
        <v>188843.26</v>
      </c>
      <c r="J33" s="130">
        <f t="shared" si="7"/>
        <v>197749.76000000001</v>
      </c>
      <c r="K33" s="130">
        <f t="shared" si="7"/>
        <v>205658.95</v>
      </c>
      <c r="L33" s="130">
        <f t="shared" si="7"/>
        <v>213897.13</v>
      </c>
      <c r="M33" s="130">
        <f t="shared" si="7"/>
        <v>217799.97</v>
      </c>
      <c r="N33" s="130">
        <f t="shared" si="7"/>
        <v>0</v>
      </c>
      <c r="O33" s="130">
        <f t="shared" si="7"/>
        <v>0</v>
      </c>
      <c r="P33" s="104" t="s">
        <v>2</v>
      </c>
      <c r="Q33" s="104" t="s">
        <v>2</v>
      </c>
      <c r="R33" s="104" t="s">
        <v>3</v>
      </c>
      <c r="S33" s="104" t="s">
        <v>2</v>
      </c>
      <c r="T33" s="104" t="s">
        <v>2</v>
      </c>
      <c r="U33" s="104" t="s">
        <v>3</v>
      </c>
      <c r="V33" s="104" t="s">
        <v>4</v>
      </c>
      <c r="W33" s="104" t="s">
        <v>3</v>
      </c>
      <c r="X33" s="104" t="s">
        <v>5</v>
      </c>
      <c r="Y33" s="133" t="s">
        <v>2</v>
      </c>
      <c r="Z33" s="133" t="s">
        <v>2</v>
      </c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</row>
    <row r="34" spans="1:52" s="22" customFormat="1" ht="16.5" hidden="1" customHeight="1" x14ac:dyDescent="0.4">
      <c r="A34" s="118"/>
      <c r="B34" s="105"/>
      <c r="C34" s="136"/>
      <c r="D34" s="136"/>
      <c r="E34" s="136"/>
      <c r="F34" s="106"/>
      <c r="G34" s="131"/>
      <c r="H34" s="131"/>
      <c r="I34" s="131"/>
      <c r="J34" s="131"/>
      <c r="K34" s="131"/>
      <c r="L34" s="131"/>
      <c r="M34" s="131"/>
      <c r="N34" s="131"/>
      <c r="O34" s="131"/>
      <c r="P34" s="105"/>
      <c r="Q34" s="105"/>
      <c r="R34" s="105"/>
      <c r="S34" s="105"/>
      <c r="T34" s="105"/>
      <c r="U34" s="105"/>
      <c r="V34" s="105"/>
      <c r="W34" s="105"/>
      <c r="X34" s="105"/>
      <c r="Y34" s="134"/>
      <c r="Z34" s="134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</row>
    <row r="35" spans="1:52" s="22" customFormat="1" ht="219" customHeight="1" x14ac:dyDescent="0.4">
      <c r="A35" s="118"/>
      <c r="B35" s="105"/>
      <c r="C35" s="136"/>
      <c r="D35" s="136"/>
      <c r="E35" s="136"/>
      <c r="F35" s="79" t="s">
        <v>34</v>
      </c>
      <c r="G35" s="29">
        <f>SUM(H35:N35)</f>
        <v>1206448.3800000001</v>
      </c>
      <c r="H35" s="30">
        <v>182499.31</v>
      </c>
      <c r="I35" s="29">
        <v>188843.26</v>
      </c>
      <c r="J35" s="29">
        <f>197750-0.24</f>
        <v>197749.76000000001</v>
      </c>
      <c r="K35" s="29">
        <v>205658.95</v>
      </c>
      <c r="L35" s="29">
        <f>213900-2.87</f>
        <v>213897.13</v>
      </c>
      <c r="M35" s="29">
        <f>222460-4660.03</f>
        <v>217799.97</v>
      </c>
      <c r="N35" s="29">
        <v>0</v>
      </c>
      <c r="O35" s="29">
        <v>0</v>
      </c>
      <c r="P35" s="105"/>
      <c r="Q35" s="105"/>
      <c r="R35" s="105"/>
      <c r="S35" s="105"/>
      <c r="T35" s="105"/>
      <c r="U35" s="105"/>
      <c r="V35" s="105"/>
      <c r="W35" s="105"/>
      <c r="X35" s="105"/>
      <c r="Y35" s="134"/>
      <c r="Z35" s="134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</row>
    <row r="36" spans="1:52" s="22" customFormat="1" ht="174" customHeight="1" x14ac:dyDescent="0.4">
      <c r="A36" s="118"/>
      <c r="B36" s="106"/>
      <c r="C36" s="137"/>
      <c r="D36" s="137"/>
      <c r="E36" s="137"/>
      <c r="F36" s="79" t="s">
        <v>35</v>
      </c>
      <c r="G36" s="29">
        <f>SUM(H36:N36)</f>
        <v>0</v>
      </c>
      <c r="H36" s="30" t="s">
        <v>36</v>
      </c>
      <c r="I36" s="29" t="s">
        <v>36</v>
      </c>
      <c r="J36" s="29" t="s">
        <v>36</v>
      </c>
      <c r="K36" s="29" t="s">
        <v>36</v>
      </c>
      <c r="L36" s="29" t="s">
        <v>36</v>
      </c>
      <c r="M36" s="29" t="s">
        <v>36</v>
      </c>
      <c r="N36" s="29" t="s">
        <v>36</v>
      </c>
      <c r="O36" s="29" t="s">
        <v>36</v>
      </c>
      <c r="P36" s="106"/>
      <c r="Q36" s="106"/>
      <c r="R36" s="106"/>
      <c r="S36" s="106"/>
      <c r="T36" s="106"/>
      <c r="U36" s="106"/>
      <c r="V36" s="106"/>
      <c r="W36" s="106"/>
      <c r="X36" s="106"/>
      <c r="Y36" s="120"/>
      <c r="Z36" s="120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</row>
    <row r="37" spans="1:52" s="22" customFormat="1" ht="123" customHeight="1" x14ac:dyDescent="0.4">
      <c r="A37" s="135"/>
      <c r="B37" s="104" t="s">
        <v>106</v>
      </c>
      <c r="C37" s="135"/>
      <c r="D37" s="135"/>
      <c r="E37" s="135"/>
      <c r="F37" s="104" t="s">
        <v>33</v>
      </c>
      <c r="G37" s="138">
        <f t="shared" ref="G37:O37" si="8">G39+G40</f>
        <v>1472150.99</v>
      </c>
      <c r="H37" s="138">
        <f t="shared" si="8"/>
        <v>236973.38</v>
      </c>
      <c r="I37" s="138">
        <f t="shared" si="8"/>
        <v>95000</v>
      </c>
      <c r="J37" s="138">
        <f t="shared" si="8"/>
        <v>380871.98</v>
      </c>
      <c r="K37" s="138">
        <f t="shared" si="8"/>
        <v>277218.3</v>
      </c>
      <c r="L37" s="138">
        <f t="shared" si="8"/>
        <v>249085.71</v>
      </c>
      <c r="M37" s="138">
        <f t="shared" si="8"/>
        <v>233001.62</v>
      </c>
      <c r="N37" s="138">
        <f t="shared" si="8"/>
        <v>0</v>
      </c>
      <c r="O37" s="138">
        <f t="shared" si="8"/>
        <v>0</v>
      </c>
      <c r="P37" s="104" t="s">
        <v>109</v>
      </c>
      <c r="Q37" s="104" t="s">
        <v>61</v>
      </c>
      <c r="R37" s="104" t="s">
        <v>11</v>
      </c>
      <c r="S37" s="104" t="s">
        <v>11</v>
      </c>
      <c r="T37" s="104" t="s">
        <v>11</v>
      </c>
      <c r="U37" s="104">
        <v>2</v>
      </c>
      <c r="V37" s="104">
        <v>2</v>
      </c>
      <c r="W37" s="104">
        <v>2</v>
      </c>
      <c r="X37" s="104">
        <v>2</v>
      </c>
      <c r="Y37" s="133">
        <v>2</v>
      </c>
      <c r="Z37" s="133">
        <v>2</v>
      </c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</row>
    <row r="38" spans="1:52" s="22" customFormat="1" ht="49.5" hidden="1" customHeight="1" x14ac:dyDescent="0.4">
      <c r="A38" s="136"/>
      <c r="B38" s="105"/>
      <c r="C38" s="136"/>
      <c r="D38" s="136"/>
      <c r="E38" s="136"/>
      <c r="F38" s="106"/>
      <c r="G38" s="139"/>
      <c r="H38" s="139"/>
      <c r="I38" s="139"/>
      <c r="J38" s="139"/>
      <c r="K38" s="139"/>
      <c r="L38" s="139"/>
      <c r="M38" s="139"/>
      <c r="N38" s="139"/>
      <c r="O38" s="139"/>
      <c r="P38" s="105"/>
      <c r="Q38" s="105"/>
      <c r="R38" s="105"/>
      <c r="S38" s="105"/>
      <c r="T38" s="105"/>
      <c r="U38" s="105"/>
      <c r="V38" s="105"/>
      <c r="W38" s="105"/>
      <c r="X38" s="105"/>
      <c r="Y38" s="134"/>
      <c r="Z38" s="134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</row>
    <row r="39" spans="1:52" s="22" customFormat="1" ht="228" customHeight="1" x14ac:dyDescent="0.4">
      <c r="A39" s="136"/>
      <c r="B39" s="105"/>
      <c r="C39" s="136"/>
      <c r="D39" s="136"/>
      <c r="E39" s="136"/>
      <c r="F39" s="79" t="s">
        <v>34</v>
      </c>
      <c r="G39" s="29">
        <f>+H39+I39+J39+K39+L39+M39+N39</f>
        <v>417090.30000000005</v>
      </c>
      <c r="H39" s="30">
        <v>200704.19</v>
      </c>
      <c r="I39" s="29">
        <v>95000</v>
      </c>
      <c r="J39" s="29">
        <f>100000+6200</f>
        <v>106200</v>
      </c>
      <c r="K39" s="29">
        <v>5544.37</v>
      </c>
      <c r="L39" s="29">
        <v>4981.71</v>
      </c>
      <c r="M39" s="29">
        <v>4660.03</v>
      </c>
      <c r="N39" s="29">
        <v>0</v>
      </c>
      <c r="O39" s="29">
        <v>0</v>
      </c>
      <c r="P39" s="105"/>
      <c r="Q39" s="105"/>
      <c r="R39" s="105"/>
      <c r="S39" s="105"/>
      <c r="T39" s="105"/>
      <c r="U39" s="105"/>
      <c r="V39" s="105"/>
      <c r="W39" s="105"/>
      <c r="X39" s="105"/>
      <c r="Y39" s="134"/>
      <c r="Z39" s="134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</row>
    <row r="40" spans="1:52" s="22" customFormat="1" ht="174" customHeight="1" x14ac:dyDescent="0.4">
      <c r="A40" s="137"/>
      <c r="B40" s="106"/>
      <c r="C40" s="137"/>
      <c r="D40" s="137"/>
      <c r="E40" s="137"/>
      <c r="F40" s="79" t="s">
        <v>35</v>
      </c>
      <c r="G40" s="29">
        <f>H40+I40+J40+K40+L40+M40+N40</f>
        <v>1055060.69</v>
      </c>
      <c r="H40" s="30">
        <v>36269.19</v>
      </c>
      <c r="I40" s="31">
        <v>0</v>
      </c>
      <c r="J40" s="29">
        <v>274671.98</v>
      </c>
      <c r="K40" s="29">
        <v>271673.93</v>
      </c>
      <c r="L40" s="29">
        <f>26851.44+217252.56</f>
        <v>244104</v>
      </c>
      <c r="M40" s="29">
        <v>228341.59</v>
      </c>
      <c r="N40" s="29" t="s">
        <v>36</v>
      </c>
      <c r="O40" s="29" t="s">
        <v>36</v>
      </c>
      <c r="P40" s="106"/>
      <c r="Q40" s="106"/>
      <c r="R40" s="106"/>
      <c r="S40" s="106"/>
      <c r="T40" s="106"/>
      <c r="U40" s="106"/>
      <c r="V40" s="106"/>
      <c r="W40" s="106"/>
      <c r="X40" s="106"/>
      <c r="Y40" s="120"/>
      <c r="Z40" s="120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</row>
    <row r="41" spans="1:52" s="22" customFormat="1" ht="174" customHeight="1" x14ac:dyDescent="0.4">
      <c r="A41" s="70"/>
      <c r="B41" s="104" t="s">
        <v>108</v>
      </c>
      <c r="C41" s="69"/>
      <c r="D41" s="69"/>
      <c r="E41" s="69"/>
      <c r="F41" s="71" t="s">
        <v>33</v>
      </c>
      <c r="G41" s="58">
        <f t="shared" ref="G41:O41" si="9">G42+G43</f>
        <v>280277.52999999997</v>
      </c>
      <c r="H41" s="58">
        <f t="shared" si="9"/>
        <v>0</v>
      </c>
      <c r="I41" s="58">
        <f t="shared" si="9"/>
        <v>0</v>
      </c>
      <c r="J41" s="58">
        <f t="shared" si="9"/>
        <v>280277.52999999997</v>
      </c>
      <c r="K41" s="58">
        <f t="shared" si="9"/>
        <v>0</v>
      </c>
      <c r="L41" s="58">
        <f t="shared" si="9"/>
        <v>0</v>
      </c>
      <c r="M41" s="58">
        <f t="shared" si="9"/>
        <v>0</v>
      </c>
      <c r="N41" s="58">
        <f t="shared" si="9"/>
        <v>0</v>
      </c>
      <c r="O41" s="58">
        <f t="shared" si="9"/>
        <v>0</v>
      </c>
      <c r="P41" s="104" t="s">
        <v>109</v>
      </c>
      <c r="Q41" s="72"/>
      <c r="R41" s="72"/>
      <c r="S41" s="72"/>
      <c r="T41" s="72"/>
      <c r="U41" s="72"/>
      <c r="V41" s="72"/>
      <c r="W41" s="72"/>
      <c r="X41" s="72"/>
      <c r="Y41" s="76"/>
      <c r="Z41" s="76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</row>
    <row r="42" spans="1:52" s="22" customFormat="1" ht="250.5" customHeight="1" x14ac:dyDescent="0.4">
      <c r="A42" s="70"/>
      <c r="B42" s="105"/>
      <c r="C42" s="69"/>
      <c r="D42" s="69"/>
      <c r="E42" s="69"/>
      <c r="F42" s="79" t="s">
        <v>34</v>
      </c>
      <c r="G42" s="29">
        <f>+H42+I42+J42+K42+L42+M42+N42</f>
        <v>5605.55</v>
      </c>
      <c r="H42" s="30">
        <v>0</v>
      </c>
      <c r="I42" s="29">
        <v>0</v>
      </c>
      <c r="J42" s="29">
        <f>5605.55</f>
        <v>5605.55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105"/>
      <c r="Q42" s="72" t="s">
        <v>61</v>
      </c>
      <c r="R42" s="72" t="s">
        <v>11</v>
      </c>
      <c r="S42" s="72" t="s">
        <v>11</v>
      </c>
      <c r="T42" s="72" t="s">
        <v>11</v>
      </c>
      <c r="U42" s="72">
        <v>2</v>
      </c>
      <c r="V42" s="72">
        <f>-W42</f>
        <v>0</v>
      </c>
      <c r="W42" s="72">
        <v>0</v>
      </c>
      <c r="X42" s="72">
        <v>0</v>
      </c>
      <c r="Y42" s="76">
        <v>0</v>
      </c>
      <c r="Z42" s="76">
        <v>0</v>
      </c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</row>
    <row r="43" spans="1:52" s="22" customFormat="1" ht="174" customHeight="1" x14ac:dyDescent="0.4">
      <c r="A43" s="70"/>
      <c r="B43" s="106"/>
      <c r="C43" s="69"/>
      <c r="D43" s="69"/>
      <c r="E43" s="69"/>
      <c r="F43" s="79" t="s">
        <v>35</v>
      </c>
      <c r="G43" s="29">
        <f>H43+I43+J43+K43+L43+M43+N43</f>
        <v>274671.98</v>
      </c>
      <c r="H43" s="30">
        <v>0</v>
      </c>
      <c r="I43" s="31">
        <v>0</v>
      </c>
      <c r="J43" s="29">
        <v>274671.98</v>
      </c>
      <c r="K43" s="29">
        <v>0</v>
      </c>
      <c r="L43" s="29">
        <v>0</v>
      </c>
      <c r="M43" s="29" t="s">
        <v>36</v>
      </c>
      <c r="N43" s="29" t="s">
        <v>36</v>
      </c>
      <c r="O43" s="29" t="s">
        <v>36</v>
      </c>
      <c r="P43" s="106"/>
      <c r="Q43" s="72"/>
      <c r="R43" s="72"/>
      <c r="S43" s="72"/>
      <c r="T43" s="72"/>
      <c r="U43" s="72"/>
      <c r="V43" s="72"/>
      <c r="W43" s="72"/>
      <c r="X43" s="72"/>
      <c r="Y43" s="76"/>
      <c r="Z43" s="76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</row>
    <row r="44" spans="1:52" s="22" customFormat="1" ht="112.5" customHeight="1" x14ac:dyDescent="0.4">
      <c r="A44" s="118"/>
      <c r="B44" s="104" t="s">
        <v>6</v>
      </c>
      <c r="C44" s="135"/>
      <c r="D44" s="135"/>
      <c r="E44" s="135"/>
      <c r="F44" s="104" t="s">
        <v>33</v>
      </c>
      <c r="G44" s="138">
        <f t="shared" ref="G44:O44" si="10">G46+G47</f>
        <v>125505</v>
      </c>
      <c r="H44" s="138">
        <f t="shared" si="10"/>
        <v>19997</v>
      </c>
      <c r="I44" s="138">
        <f t="shared" si="10"/>
        <v>6000</v>
      </c>
      <c r="J44" s="138">
        <f t="shared" si="10"/>
        <v>29779</v>
      </c>
      <c r="K44" s="138">
        <f t="shared" si="10"/>
        <v>30000</v>
      </c>
      <c r="L44" s="138">
        <f t="shared" si="10"/>
        <v>39729</v>
      </c>
      <c r="M44" s="138">
        <f t="shared" si="10"/>
        <v>0</v>
      </c>
      <c r="N44" s="138">
        <f t="shared" si="10"/>
        <v>0</v>
      </c>
      <c r="O44" s="138">
        <f t="shared" si="10"/>
        <v>0</v>
      </c>
      <c r="P44" s="104" t="s">
        <v>2</v>
      </c>
      <c r="Q44" s="104" t="s">
        <v>2</v>
      </c>
      <c r="R44" s="104" t="s">
        <v>3</v>
      </c>
      <c r="S44" s="104" t="s">
        <v>2</v>
      </c>
      <c r="T44" s="104" t="s">
        <v>2</v>
      </c>
      <c r="U44" s="104" t="s">
        <v>3</v>
      </c>
      <c r="V44" s="104" t="s">
        <v>4</v>
      </c>
      <c r="W44" s="104" t="s">
        <v>3</v>
      </c>
      <c r="X44" s="104" t="s">
        <v>5</v>
      </c>
      <c r="Y44" s="133" t="s">
        <v>2</v>
      </c>
      <c r="Z44" s="133" t="s">
        <v>2</v>
      </c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</row>
    <row r="45" spans="1:52" s="22" customFormat="1" ht="36" hidden="1" customHeight="1" x14ac:dyDescent="0.4">
      <c r="A45" s="118"/>
      <c r="B45" s="105"/>
      <c r="C45" s="136"/>
      <c r="D45" s="136"/>
      <c r="E45" s="136"/>
      <c r="F45" s="106"/>
      <c r="G45" s="139"/>
      <c r="H45" s="139"/>
      <c r="I45" s="139"/>
      <c r="J45" s="139"/>
      <c r="K45" s="139"/>
      <c r="L45" s="139"/>
      <c r="M45" s="139"/>
      <c r="N45" s="139"/>
      <c r="O45" s="139"/>
      <c r="P45" s="105"/>
      <c r="Q45" s="105"/>
      <c r="R45" s="105"/>
      <c r="S45" s="105"/>
      <c r="T45" s="105"/>
      <c r="U45" s="105"/>
      <c r="V45" s="105"/>
      <c r="W45" s="105"/>
      <c r="X45" s="105"/>
      <c r="Y45" s="134"/>
      <c r="Z45" s="134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</row>
    <row r="46" spans="1:52" s="22" customFormat="1" ht="250.5" customHeight="1" x14ac:dyDescent="0.4">
      <c r="A46" s="118"/>
      <c r="B46" s="105"/>
      <c r="C46" s="136"/>
      <c r="D46" s="136"/>
      <c r="E46" s="136"/>
      <c r="F46" s="79" t="s">
        <v>34</v>
      </c>
      <c r="G46" s="29">
        <f>H46+I46+J46+K46+L46+M46+N46</f>
        <v>125505</v>
      </c>
      <c r="H46" s="30">
        <v>19997</v>
      </c>
      <c r="I46" s="29">
        <v>6000</v>
      </c>
      <c r="J46" s="29">
        <v>29779</v>
      </c>
      <c r="K46" s="29">
        <f>50000-5920-14080</f>
        <v>30000</v>
      </c>
      <c r="L46" s="29">
        <v>39729</v>
      </c>
      <c r="M46" s="29">
        <v>0</v>
      </c>
      <c r="N46" s="29">
        <v>0</v>
      </c>
      <c r="O46" s="29">
        <v>0</v>
      </c>
      <c r="P46" s="105"/>
      <c r="Q46" s="105"/>
      <c r="R46" s="105"/>
      <c r="S46" s="105"/>
      <c r="T46" s="105"/>
      <c r="U46" s="105"/>
      <c r="V46" s="105"/>
      <c r="W46" s="105"/>
      <c r="X46" s="105"/>
      <c r="Y46" s="134"/>
      <c r="Z46" s="134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</row>
    <row r="47" spans="1:52" s="22" customFormat="1" ht="174" customHeight="1" x14ac:dyDescent="0.4">
      <c r="A47" s="118"/>
      <c r="B47" s="106"/>
      <c r="C47" s="137"/>
      <c r="D47" s="137"/>
      <c r="E47" s="137"/>
      <c r="F47" s="79" t="s">
        <v>35</v>
      </c>
      <c r="G47" s="29">
        <f>H47+I47+J47+K47+L47+M47+N47</f>
        <v>0</v>
      </c>
      <c r="H47" s="30" t="s">
        <v>36</v>
      </c>
      <c r="I47" s="29" t="s">
        <v>36</v>
      </c>
      <c r="J47" s="29" t="s">
        <v>36</v>
      </c>
      <c r="K47" s="29" t="s">
        <v>36</v>
      </c>
      <c r="L47" s="29" t="s">
        <v>36</v>
      </c>
      <c r="M47" s="29" t="s">
        <v>36</v>
      </c>
      <c r="N47" s="29" t="s">
        <v>36</v>
      </c>
      <c r="O47" s="29" t="s">
        <v>36</v>
      </c>
      <c r="P47" s="106"/>
      <c r="Q47" s="106"/>
      <c r="R47" s="106"/>
      <c r="S47" s="106"/>
      <c r="T47" s="106"/>
      <c r="U47" s="106"/>
      <c r="V47" s="106"/>
      <c r="W47" s="106"/>
      <c r="X47" s="106"/>
      <c r="Y47" s="120"/>
      <c r="Z47" s="120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</row>
    <row r="48" spans="1:52" s="22" customFormat="1" ht="117" customHeight="1" x14ac:dyDescent="0.4">
      <c r="A48" s="118"/>
      <c r="B48" s="104" t="s">
        <v>48</v>
      </c>
      <c r="C48" s="135"/>
      <c r="D48" s="135"/>
      <c r="E48" s="135"/>
      <c r="F48" s="104" t="s">
        <v>33</v>
      </c>
      <c r="G48" s="138">
        <f t="shared" ref="G48:O48" si="11">G50+G51</f>
        <v>2941408.56</v>
      </c>
      <c r="H48" s="138">
        <f t="shared" si="11"/>
        <v>173896.45</v>
      </c>
      <c r="I48" s="138">
        <f t="shared" si="11"/>
        <v>231430.89</v>
      </c>
      <c r="J48" s="138">
        <f t="shared" si="11"/>
        <v>178531.18000000002</v>
      </c>
      <c r="K48" s="138">
        <f t="shared" si="11"/>
        <v>565995.12</v>
      </c>
      <c r="L48" s="138">
        <f t="shared" si="11"/>
        <v>579271.92000000004</v>
      </c>
      <c r="M48" s="138">
        <f t="shared" si="11"/>
        <v>566788</v>
      </c>
      <c r="N48" s="138">
        <f t="shared" si="11"/>
        <v>645495</v>
      </c>
      <c r="O48" s="138">
        <f t="shared" si="11"/>
        <v>0</v>
      </c>
      <c r="P48" s="104" t="s">
        <v>2</v>
      </c>
      <c r="Q48" s="104" t="s">
        <v>2</v>
      </c>
      <c r="R48" s="104" t="s">
        <v>3</v>
      </c>
      <c r="S48" s="104" t="s">
        <v>2</v>
      </c>
      <c r="T48" s="104" t="s">
        <v>2</v>
      </c>
      <c r="U48" s="104" t="s">
        <v>3</v>
      </c>
      <c r="V48" s="104" t="s">
        <v>4</v>
      </c>
      <c r="W48" s="104" t="s">
        <v>3</v>
      </c>
      <c r="X48" s="104" t="s">
        <v>5</v>
      </c>
      <c r="Y48" s="133" t="s">
        <v>2</v>
      </c>
      <c r="Z48" s="133" t="s">
        <v>2</v>
      </c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</row>
    <row r="49" spans="1:52" s="22" customFormat="1" ht="27" hidden="1" customHeight="1" x14ac:dyDescent="0.4">
      <c r="A49" s="118"/>
      <c r="B49" s="105"/>
      <c r="C49" s="136"/>
      <c r="D49" s="136"/>
      <c r="E49" s="136"/>
      <c r="F49" s="106"/>
      <c r="G49" s="139"/>
      <c r="H49" s="139"/>
      <c r="I49" s="139"/>
      <c r="J49" s="139"/>
      <c r="K49" s="139"/>
      <c r="L49" s="139"/>
      <c r="M49" s="139"/>
      <c r="N49" s="139"/>
      <c r="O49" s="139"/>
      <c r="P49" s="105"/>
      <c r="Q49" s="105"/>
      <c r="R49" s="105"/>
      <c r="S49" s="105"/>
      <c r="T49" s="105"/>
      <c r="U49" s="105"/>
      <c r="V49" s="105"/>
      <c r="W49" s="105"/>
      <c r="X49" s="105"/>
      <c r="Y49" s="134"/>
      <c r="Z49" s="134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</row>
    <row r="50" spans="1:52" s="22" customFormat="1" ht="219" customHeight="1" x14ac:dyDescent="0.4">
      <c r="A50" s="118"/>
      <c r="B50" s="105"/>
      <c r="C50" s="136"/>
      <c r="D50" s="136"/>
      <c r="E50" s="136"/>
      <c r="F50" s="79" t="s">
        <v>34</v>
      </c>
      <c r="G50" s="29">
        <f>H50+I50+J50+K50+L50+M50+N50</f>
        <v>2941408.56</v>
      </c>
      <c r="H50" s="30">
        <v>173896.45</v>
      </c>
      <c r="I50" s="29">
        <v>231430.89</v>
      </c>
      <c r="J50" s="29">
        <f>240400-40369.61-21499.21</f>
        <v>178531.18000000002</v>
      </c>
      <c r="K50" s="29">
        <f>567705.04-1709.92</f>
        <v>565995.12</v>
      </c>
      <c r="L50" s="29">
        <v>579271.92000000004</v>
      </c>
      <c r="M50" s="29">
        <v>566788</v>
      </c>
      <c r="N50" s="29">
        <v>645495</v>
      </c>
      <c r="O50" s="29">
        <v>0</v>
      </c>
      <c r="P50" s="105"/>
      <c r="Q50" s="105"/>
      <c r="R50" s="105"/>
      <c r="S50" s="105"/>
      <c r="T50" s="105"/>
      <c r="U50" s="105"/>
      <c r="V50" s="105"/>
      <c r="W50" s="105"/>
      <c r="X50" s="105"/>
      <c r="Y50" s="134"/>
      <c r="Z50" s="134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</row>
    <row r="51" spans="1:52" s="22" customFormat="1" ht="174" customHeight="1" x14ac:dyDescent="0.4">
      <c r="A51" s="118"/>
      <c r="B51" s="106"/>
      <c r="C51" s="137"/>
      <c r="D51" s="137"/>
      <c r="E51" s="137"/>
      <c r="F51" s="79" t="s">
        <v>35</v>
      </c>
      <c r="G51" s="29">
        <f>H51+I51+J51+K51+L51+M51+N51</f>
        <v>0</v>
      </c>
      <c r="H51" s="30" t="s">
        <v>36</v>
      </c>
      <c r="I51" s="29" t="s">
        <v>36</v>
      </c>
      <c r="J51" s="29" t="s">
        <v>36</v>
      </c>
      <c r="K51" s="29" t="s">
        <v>36</v>
      </c>
      <c r="L51" s="29" t="s">
        <v>36</v>
      </c>
      <c r="M51" s="29" t="s">
        <v>36</v>
      </c>
      <c r="N51" s="29" t="s">
        <v>36</v>
      </c>
      <c r="O51" s="29" t="s">
        <v>36</v>
      </c>
      <c r="P51" s="106"/>
      <c r="Q51" s="106"/>
      <c r="R51" s="106"/>
      <c r="S51" s="106"/>
      <c r="T51" s="106"/>
      <c r="U51" s="106"/>
      <c r="V51" s="106"/>
      <c r="W51" s="106"/>
      <c r="X51" s="106"/>
      <c r="Y51" s="120"/>
      <c r="Z51" s="120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</row>
    <row r="52" spans="1:52" s="22" customFormat="1" ht="78.75" x14ac:dyDescent="0.4">
      <c r="A52" s="135"/>
      <c r="B52" s="104" t="s">
        <v>49</v>
      </c>
      <c r="C52" s="135"/>
      <c r="D52" s="135"/>
      <c r="E52" s="135"/>
      <c r="F52" s="71" t="s">
        <v>33</v>
      </c>
      <c r="G52" s="80">
        <f t="shared" ref="G52:O52" si="12">G53+G54</f>
        <v>102040.82</v>
      </c>
      <c r="H52" s="80">
        <f t="shared" si="12"/>
        <v>0</v>
      </c>
      <c r="I52" s="80">
        <f t="shared" si="12"/>
        <v>102040.82</v>
      </c>
      <c r="J52" s="80">
        <f t="shared" si="12"/>
        <v>0</v>
      </c>
      <c r="K52" s="80">
        <f t="shared" si="12"/>
        <v>0</v>
      </c>
      <c r="L52" s="80">
        <f t="shared" si="12"/>
        <v>0</v>
      </c>
      <c r="M52" s="93">
        <f t="shared" si="12"/>
        <v>0</v>
      </c>
      <c r="N52" s="80">
        <f t="shared" si="12"/>
        <v>0</v>
      </c>
      <c r="O52" s="80">
        <f t="shared" si="12"/>
        <v>0</v>
      </c>
      <c r="P52" s="104" t="s">
        <v>118</v>
      </c>
      <c r="Q52" s="104" t="s">
        <v>61</v>
      </c>
      <c r="R52" s="104"/>
      <c r="S52" s="104">
        <v>106</v>
      </c>
      <c r="T52" s="104">
        <v>106</v>
      </c>
      <c r="U52" s="104" t="s">
        <v>11</v>
      </c>
      <c r="V52" s="104" t="s">
        <v>11</v>
      </c>
      <c r="W52" s="104" t="s">
        <v>11</v>
      </c>
      <c r="X52" s="104" t="s">
        <v>11</v>
      </c>
      <c r="Y52" s="104" t="s">
        <v>11</v>
      </c>
      <c r="Z52" s="104" t="s">
        <v>11</v>
      </c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</row>
    <row r="53" spans="1:52" s="22" customFormat="1" ht="229.5" customHeight="1" x14ac:dyDescent="0.4">
      <c r="A53" s="136"/>
      <c r="B53" s="105"/>
      <c r="C53" s="136"/>
      <c r="D53" s="136"/>
      <c r="E53" s="136"/>
      <c r="F53" s="32" t="s">
        <v>34</v>
      </c>
      <c r="G53" s="29">
        <f>SUM(H53:N53)</f>
        <v>2040.82</v>
      </c>
      <c r="H53" s="30">
        <v>0</v>
      </c>
      <c r="I53" s="29">
        <v>2040.82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</row>
    <row r="54" spans="1:52" s="22" customFormat="1" ht="174" customHeight="1" x14ac:dyDescent="0.4">
      <c r="A54" s="137"/>
      <c r="B54" s="106"/>
      <c r="C54" s="137"/>
      <c r="D54" s="137"/>
      <c r="E54" s="137"/>
      <c r="F54" s="79" t="s">
        <v>35</v>
      </c>
      <c r="G54" s="29">
        <f>SUM(H54:N54)</f>
        <v>100000</v>
      </c>
      <c r="H54" s="30">
        <v>0</v>
      </c>
      <c r="I54" s="29">
        <v>100000</v>
      </c>
      <c r="J54" s="29" t="s">
        <v>36</v>
      </c>
      <c r="K54" s="29" t="s">
        <v>36</v>
      </c>
      <c r="L54" s="29" t="s">
        <v>36</v>
      </c>
      <c r="M54" s="29" t="s">
        <v>36</v>
      </c>
      <c r="N54" s="29" t="s">
        <v>36</v>
      </c>
      <c r="O54" s="29" t="s">
        <v>36</v>
      </c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</row>
    <row r="55" spans="1:52" s="22" customFormat="1" ht="129" customHeight="1" x14ac:dyDescent="0.4">
      <c r="A55" s="118"/>
      <c r="B55" s="104" t="s">
        <v>7</v>
      </c>
      <c r="C55" s="135"/>
      <c r="D55" s="135"/>
      <c r="E55" s="135"/>
      <c r="F55" s="71" t="s">
        <v>33</v>
      </c>
      <c r="G55" s="80">
        <f t="shared" ref="G55:O55" si="13">G56+G57</f>
        <v>97874668.25</v>
      </c>
      <c r="H55" s="80">
        <f t="shared" si="13"/>
        <v>12984217.52</v>
      </c>
      <c r="I55" s="80">
        <f t="shared" si="13"/>
        <v>12933706.51</v>
      </c>
      <c r="J55" s="80">
        <f t="shared" si="13"/>
        <v>15603459.850000001</v>
      </c>
      <c r="K55" s="80">
        <f t="shared" si="13"/>
        <v>15841461.949999999</v>
      </c>
      <c r="L55" s="80">
        <f t="shared" si="13"/>
        <v>16064915.98</v>
      </c>
      <c r="M55" s="93">
        <f t="shared" si="13"/>
        <v>14554013.439999999</v>
      </c>
      <c r="N55" s="80">
        <f t="shared" si="13"/>
        <v>9892893</v>
      </c>
      <c r="O55" s="80">
        <f t="shared" si="13"/>
        <v>10538388</v>
      </c>
      <c r="P55" s="104" t="s">
        <v>2</v>
      </c>
      <c r="Q55" s="104" t="s">
        <v>2</v>
      </c>
      <c r="R55" s="104" t="s">
        <v>3</v>
      </c>
      <c r="S55" s="104" t="s">
        <v>2</v>
      </c>
      <c r="T55" s="104" t="s">
        <v>2</v>
      </c>
      <c r="U55" s="104" t="s">
        <v>3</v>
      </c>
      <c r="V55" s="104" t="s">
        <v>4</v>
      </c>
      <c r="W55" s="104" t="s">
        <v>3</v>
      </c>
      <c r="X55" s="104" t="s">
        <v>5</v>
      </c>
      <c r="Y55" s="133" t="s">
        <v>2</v>
      </c>
      <c r="Z55" s="133" t="s">
        <v>2</v>
      </c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</row>
    <row r="56" spans="1:52" s="22" customFormat="1" ht="232.5" customHeight="1" x14ac:dyDescent="0.4">
      <c r="A56" s="118"/>
      <c r="B56" s="105"/>
      <c r="C56" s="136"/>
      <c r="D56" s="136"/>
      <c r="E56" s="136"/>
      <c r="F56" s="79" t="s">
        <v>34</v>
      </c>
      <c r="G56" s="29">
        <f>H56+I56+J56+K56+L56+M56+N56</f>
        <v>71798556.569999993</v>
      </c>
      <c r="H56" s="30">
        <v>10373259.49</v>
      </c>
      <c r="I56" s="29">
        <f>10262943.35+2910+21433.8</f>
        <v>10287287.15</v>
      </c>
      <c r="J56" s="29">
        <f>10606903.7-68515.79+100000+219324+599000+1250096.87-74000-6200-136300+0.24</f>
        <v>12490309.020000001</v>
      </c>
      <c r="K56" s="29">
        <f>7814197.52+2359887.65+3871521.5+543352.78+315000+1500000-176949.95+324343.5-3871521.5-315000-1500000-46303+19100-125000-28637.5-100303-38200+92409.53-100934.38</f>
        <v>10536963.149999999</v>
      </c>
      <c r="L56" s="29">
        <f>8094000+2444388-479062.26-0.53+30000+42368-22516+9814-7484-2090-448791.16-68654.73</f>
        <v>9591971.3200000003</v>
      </c>
      <c r="M56" s="29">
        <f>8094000+2444388-1912514.56</f>
        <v>8625873.4399999995</v>
      </c>
      <c r="N56" s="29">
        <f>7448505+2444388</f>
        <v>9892893</v>
      </c>
      <c r="O56" s="29">
        <f>8094000+2444388</f>
        <v>10538388</v>
      </c>
      <c r="P56" s="105"/>
      <c r="Q56" s="105"/>
      <c r="R56" s="105"/>
      <c r="S56" s="105"/>
      <c r="T56" s="105"/>
      <c r="U56" s="105"/>
      <c r="V56" s="105"/>
      <c r="W56" s="105"/>
      <c r="X56" s="105"/>
      <c r="Y56" s="134"/>
      <c r="Z56" s="134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</row>
    <row r="57" spans="1:52" s="22" customFormat="1" ht="174" customHeight="1" x14ac:dyDescent="0.4">
      <c r="A57" s="118"/>
      <c r="B57" s="106"/>
      <c r="C57" s="137"/>
      <c r="D57" s="137"/>
      <c r="E57" s="137"/>
      <c r="F57" s="79" t="s">
        <v>35</v>
      </c>
      <c r="G57" s="29">
        <f>SUM(H57:N57)</f>
        <v>26076111.68</v>
      </c>
      <c r="H57" s="30">
        <v>2610958.0299999998</v>
      </c>
      <c r="I57" s="29">
        <v>2646419.36</v>
      </c>
      <c r="J57" s="29">
        <f>2956295.25+120473+36382.58</f>
        <v>3113150.83</v>
      </c>
      <c r="K57" s="29">
        <f>2934100.8+1593498+650000+126900</f>
        <v>5304498.8</v>
      </c>
      <c r="L57" s="29">
        <f>2824930-136554.82+2918571+600000+265998.48</f>
        <v>6472944.6600000001</v>
      </c>
      <c r="M57" s="29">
        <v>5928140</v>
      </c>
      <c r="N57" s="29" t="s">
        <v>36</v>
      </c>
      <c r="O57" s="29" t="s">
        <v>36</v>
      </c>
      <c r="P57" s="106"/>
      <c r="Q57" s="106"/>
      <c r="R57" s="106"/>
      <c r="S57" s="106"/>
      <c r="T57" s="106"/>
      <c r="U57" s="106"/>
      <c r="V57" s="106"/>
      <c r="W57" s="106"/>
      <c r="X57" s="106"/>
      <c r="Y57" s="120"/>
      <c r="Z57" s="120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</row>
    <row r="58" spans="1:52" s="22" customFormat="1" ht="109.5" customHeight="1" x14ac:dyDescent="0.4">
      <c r="A58" s="78"/>
      <c r="B58" s="104" t="s">
        <v>93</v>
      </c>
      <c r="C58" s="135"/>
      <c r="D58" s="135"/>
      <c r="E58" s="135"/>
      <c r="F58" s="71" t="s">
        <v>33</v>
      </c>
      <c r="G58" s="80">
        <f t="shared" ref="G58:O58" si="14">G59+G60</f>
        <v>85860276.129999995</v>
      </c>
      <c r="H58" s="80">
        <f t="shared" si="14"/>
        <v>12923217.52</v>
      </c>
      <c r="I58" s="80">
        <f t="shared" si="14"/>
        <v>12909362.709999999</v>
      </c>
      <c r="J58" s="80">
        <f t="shared" si="14"/>
        <v>13651538.74</v>
      </c>
      <c r="K58" s="80">
        <f t="shared" si="14"/>
        <v>15807280.739999998</v>
      </c>
      <c r="L58" s="80">
        <f t="shared" si="14"/>
        <v>16014862.979999999</v>
      </c>
      <c r="M58" s="93">
        <f t="shared" si="14"/>
        <v>14554013.439999999</v>
      </c>
      <c r="N58" s="80">
        <f t="shared" si="14"/>
        <v>0</v>
      </c>
      <c r="O58" s="80">
        <f t="shared" si="14"/>
        <v>0</v>
      </c>
      <c r="P58" s="104" t="s">
        <v>116</v>
      </c>
      <c r="Q58" s="104" t="s">
        <v>61</v>
      </c>
      <c r="R58" s="104"/>
      <c r="S58" s="104">
        <v>78.78</v>
      </c>
      <c r="T58" s="104">
        <v>77.349999999999994</v>
      </c>
      <c r="U58" s="104">
        <v>75.5</v>
      </c>
      <c r="V58" s="104">
        <v>77.56</v>
      </c>
      <c r="W58" s="104">
        <v>78.03</v>
      </c>
      <c r="X58" s="104">
        <v>72.75</v>
      </c>
      <c r="Y58" s="104">
        <v>72.75</v>
      </c>
      <c r="Z58" s="104">
        <v>72.75</v>
      </c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</row>
    <row r="59" spans="1:52" s="22" customFormat="1" ht="258" customHeight="1" x14ac:dyDescent="0.4">
      <c r="A59" s="78"/>
      <c r="B59" s="105"/>
      <c r="C59" s="136"/>
      <c r="D59" s="136"/>
      <c r="E59" s="136"/>
      <c r="F59" s="79" t="s">
        <v>34</v>
      </c>
      <c r="G59" s="29">
        <f>H59+I59+J59+K59+L59+M59+N59</f>
        <v>59784164.449999996</v>
      </c>
      <c r="H59" s="30">
        <v>10312259.49</v>
      </c>
      <c r="I59" s="29">
        <f>10262943.35</f>
        <v>10262943.35</v>
      </c>
      <c r="J59" s="29">
        <f>2002496.06+8127569.7+476837.94-68515.79</f>
        <v>10538387.91</v>
      </c>
      <c r="K59" s="29">
        <f>10455871.5+46910.44</f>
        <v>10502781.939999999</v>
      </c>
      <c r="L59" s="29">
        <f>9344911.52+714413.69-448791.16-68615.73</f>
        <v>9541918.3199999984</v>
      </c>
      <c r="M59" s="29">
        <v>8625873.4399999995</v>
      </c>
      <c r="N59" s="29">
        <v>0</v>
      </c>
      <c r="O59" s="29">
        <v>0</v>
      </c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</row>
    <row r="60" spans="1:52" s="22" customFormat="1" ht="189" customHeight="1" x14ac:dyDescent="0.4">
      <c r="A60" s="78"/>
      <c r="B60" s="106"/>
      <c r="C60" s="137"/>
      <c r="D60" s="137"/>
      <c r="E60" s="137"/>
      <c r="F60" s="79" t="s">
        <v>35</v>
      </c>
      <c r="G60" s="29">
        <f>SUM(H60:N60)</f>
        <v>26076111.68</v>
      </c>
      <c r="H60" s="30">
        <v>2610958.0299999998</v>
      </c>
      <c r="I60" s="29">
        <v>2646419.36</v>
      </c>
      <c r="J60" s="29">
        <f>2956295.25+156855.58</f>
        <v>3113150.83</v>
      </c>
      <c r="K60" s="29">
        <f>2934100.8+1593498+650000+126900</f>
        <v>5304498.8</v>
      </c>
      <c r="L60" s="29">
        <f>2688375.18+2918571+600000+265998.48</f>
        <v>6472944.6600000001</v>
      </c>
      <c r="M60" s="29">
        <v>5928140</v>
      </c>
      <c r="N60" s="29" t="s">
        <v>36</v>
      </c>
      <c r="O60" s="29" t="s">
        <v>36</v>
      </c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</row>
    <row r="61" spans="1:52" s="22" customFormat="1" ht="174" customHeight="1" x14ac:dyDescent="0.4">
      <c r="A61" s="118"/>
      <c r="B61" s="104" t="s">
        <v>50</v>
      </c>
      <c r="C61" s="135"/>
      <c r="D61" s="135"/>
      <c r="E61" s="135"/>
      <c r="F61" s="71" t="s">
        <v>33</v>
      </c>
      <c r="G61" s="80">
        <f t="shared" ref="G61:O61" si="15">G62+G63</f>
        <v>6793050.0000000009</v>
      </c>
      <c r="H61" s="80">
        <f t="shared" si="15"/>
        <v>0</v>
      </c>
      <c r="I61" s="80">
        <f t="shared" si="15"/>
        <v>0</v>
      </c>
      <c r="J61" s="80">
        <f t="shared" si="15"/>
        <v>0</v>
      </c>
      <c r="K61" s="80">
        <f t="shared" si="15"/>
        <v>6793050.0000000009</v>
      </c>
      <c r="L61" s="80">
        <f t="shared" si="15"/>
        <v>0</v>
      </c>
      <c r="M61" s="93">
        <f t="shared" si="15"/>
        <v>0</v>
      </c>
      <c r="N61" s="80">
        <f t="shared" si="15"/>
        <v>0</v>
      </c>
      <c r="O61" s="80">
        <f t="shared" si="15"/>
        <v>0</v>
      </c>
      <c r="P61" s="104" t="s">
        <v>2</v>
      </c>
      <c r="Q61" s="104" t="s">
        <v>2</v>
      </c>
      <c r="R61" s="104" t="s">
        <v>3</v>
      </c>
      <c r="S61" s="104" t="s">
        <v>2</v>
      </c>
      <c r="T61" s="104" t="s">
        <v>2</v>
      </c>
      <c r="U61" s="104" t="s">
        <v>3</v>
      </c>
      <c r="V61" s="104" t="s">
        <v>4</v>
      </c>
      <c r="W61" s="104" t="s">
        <v>3</v>
      </c>
      <c r="X61" s="104" t="s">
        <v>5</v>
      </c>
      <c r="Y61" s="133" t="s">
        <v>2</v>
      </c>
      <c r="Z61" s="133" t="s">
        <v>2</v>
      </c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</row>
    <row r="62" spans="1:52" s="22" customFormat="1" ht="220.5" customHeight="1" x14ac:dyDescent="0.4">
      <c r="A62" s="118"/>
      <c r="B62" s="105"/>
      <c r="C62" s="136"/>
      <c r="D62" s="136"/>
      <c r="E62" s="136"/>
      <c r="F62" s="79" t="s">
        <v>34</v>
      </c>
      <c r="G62" s="29">
        <f>H62+I62+J62+K62+L62+N62+M62</f>
        <v>5993050.0000000009</v>
      </c>
      <c r="H62" s="30">
        <v>0</v>
      </c>
      <c r="I62" s="29">
        <v>0</v>
      </c>
      <c r="J62" s="29">
        <v>0</v>
      </c>
      <c r="K62" s="29">
        <f>K65+6005865+5657-3.47-34795.06</f>
        <v>5993050.0000000009</v>
      </c>
      <c r="L62" s="29">
        <v>0</v>
      </c>
      <c r="M62" s="29">
        <v>0</v>
      </c>
      <c r="N62" s="29">
        <v>0</v>
      </c>
      <c r="O62" s="29">
        <v>0</v>
      </c>
      <c r="P62" s="105"/>
      <c r="Q62" s="105"/>
      <c r="R62" s="105"/>
      <c r="S62" s="105"/>
      <c r="T62" s="105"/>
      <c r="U62" s="105"/>
      <c r="V62" s="105"/>
      <c r="W62" s="105"/>
      <c r="X62" s="105"/>
      <c r="Y62" s="134"/>
      <c r="Z62" s="134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</row>
    <row r="63" spans="1:52" s="22" customFormat="1" ht="220.5" customHeight="1" x14ac:dyDescent="0.4">
      <c r="A63" s="118"/>
      <c r="B63" s="106"/>
      <c r="C63" s="137"/>
      <c r="D63" s="137"/>
      <c r="E63" s="137"/>
      <c r="F63" s="79" t="s">
        <v>35</v>
      </c>
      <c r="G63" s="29">
        <f>H63+I63+J63+K63+L63+N63+M63</f>
        <v>800000</v>
      </c>
      <c r="H63" s="30">
        <v>0</v>
      </c>
      <c r="I63" s="29">
        <v>0</v>
      </c>
      <c r="J63" s="29" t="s">
        <v>36</v>
      </c>
      <c r="K63" s="29">
        <f>K66</f>
        <v>800000</v>
      </c>
      <c r="L63" s="29" t="s">
        <v>36</v>
      </c>
      <c r="M63" s="29" t="s">
        <v>36</v>
      </c>
      <c r="N63" s="29" t="s">
        <v>36</v>
      </c>
      <c r="O63" s="29" t="s">
        <v>36</v>
      </c>
      <c r="P63" s="106"/>
      <c r="Q63" s="106"/>
      <c r="R63" s="106"/>
      <c r="S63" s="106"/>
      <c r="T63" s="106"/>
      <c r="U63" s="106"/>
      <c r="V63" s="106"/>
      <c r="W63" s="106"/>
      <c r="X63" s="106"/>
      <c r="Y63" s="120"/>
      <c r="Z63" s="120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</row>
    <row r="64" spans="1:52" s="22" customFormat="1" ht="166.5" customHeight="1" x14ac:dyDescent="0.4">
      <c r="A64" s="118"/>
      <c r="B64" s="104" t="s">
        <v>128</v>
      </c>
      <c r="C64" s="135"/>
      <c r="D64" s="135"/>
      <c r="E64" s="135"/>
      <c r="F64" s="71" t="s">
        <v>33</v>
      </c>
      <c r="G64" s="80">
        <f t="shared" ref="G64:O64" si="16">G65+G66</f>
        <v>816326.53</v>
      </c>
      <c r="H64" s="80">
        <f t="shared" si="16"/>
        <v>0</v>
      </c>
      <c r="I64" s="80">
        <f t="shared" si="16"/>
        <v>0</v>
      </c>
      <c r="J64" s="80">
        <f t="shared" si="16"/>
        <v>0</v>
      </c>
      <c r="K64" s="80">
        <f t="shared" si="16"/>
        <v>816326.53</v>
      </c>
      <c r="L64" s="80">
        <f t="shared" si="16"/>
        <v>0</v>
      </c>
      <c r="M64" s="93">
        <f t="shared" si="16"/>
        <v>0</v>
      </c>
      <c r="N64" s="80">
        <f t="shared" si="16"/>
        <v>0</v>
      </c>
      <c r="O64" s="80">
        <f t="shared" si="16"/>
        <v>0</v>
      </c>
      <c r="P64" s="104" t="s">
        <v>129</v>
      </c>
      <c r="Q64" s="104" t="s">
        <v>24</v>
      </c>
      <c r="R64" s="104">
        <v>1</v>
      </c>
      <c r="S64" s="140" t="s">
        <v>11</v>
      </c>
      <c r="T64" s="140" t="s">
        <v>11</v>
      </c>
      <c r="U64" s="140" t="s">
        <v>11</v>
      </c>
      <c r="V64" s="140">
        <v>1</v>
      </c>
      <c r="W64" s="140" t="s">
        <v>11</v>
      </c>
      <c r="X64" s="140" t="s">
        <v>11</v>
      </c>
      <c r="Y64" s="133" t="s">
        <v>11</v>
      </c>
      <c r="Z64" s="133" t="s">
        <v>11</v>
      </c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</row>
    <row r="65" spans="1:52" s="22" customFormat="1" ht="219" customHeight="1" x14ac:dyDescent="0.4">
      <c r="A65" s="118"/>
      <c r="B65" s="105"/>
      <c r="C65" s="136"/>
      <c r="D65" s="136"/>
      <c r="E65" s="136"/>
      <c r="F65" s="79" t="s">
        <v>34</v>
      </c>
      <c r="G65" s="29">
        <f>H65+I65+J65+K65+L65+N65+M65</f>
        <v>16326.53</v>
      </c>
      <c r="H65" s="30">
        <v>0</v>
      </c>
      <c r="I65" s="29">
        <v>0</v>
      </c>
      <c r="J65" s="29">
        <v>0</v>
      </c>
      <c r="K65" s="29">
        <v>16326.53</v>
      </c>
      <c r="L65" s="29">
        <v>0</v>
      </c>
      <c r="M65" s="29">
        <v>0</v>
      </c>
      <c r="N65" s="29">
        <v>0</v>
      </c>
      <c r="O65" s="29">
        <v>0</v>
      </c>
      <c r="P65" s="105"/>
      <c r="Q65" s="105"/>
      <c r="R65" s="105"/>
      <c r="S65" s="141"/>
      <c r="T65" s="141"/>
      <c r="U65" s="141"/>
      <c r="V65" s="141"/>
      <c r="W65" s="141"/>
      <c r="X65" s="141"/>
      <c r="Y65" s="134"/>
      <c r="Z65" s="134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</row>
    <row r="66" spans="1:52" s="22" customFormat="1" ht="183" customHeight="1" x14ac:dyDescent="0.4">
      <c r="A66" s="118"/>
      <c r="B66" s="106"/>
      <c r="C66" s="137"/>
      <c r="D66" s="137"/>
      <c r="E66" s="137"/>
      <c r="F66" s="79" t="s">
        <v>35</v>
      </c>
      <c r="G66" s="29">
        <f>H66+I66+J66+K66+L66+N66+M66</f>
        <v>800000</v>
      </c>
      <c r="H66" s="30">
        <v>0</v>
      </c>
      <c r="I66" s="29">
        <v>0</v>
      </c>
      <c r="J66" s="29" t="s">
        <v>36</v>
      </c>
      <c r="K66" s="29">
        <v>800000</v>
      </c>
      <c r="L66" s="29" t="s">
        <v>36</v>
      </c>
      <c r="M66" s="29" t="s">
        <v>36</v>
      </c>
      <c r="N66" s="29" t="s">
        <v>36</v>
      </c>
      <c r="O66" s="29" t="s">
        <v>36</v>
      </c>
      <c r="P66" s="106"/>
      <c r="Q66" s="106"/>
      <c r="R66" s="106"/>
      <c r="S66" s="142"/>
      <c r="T66" s="142"/>
      <c r="U66" s="142"/>
      <c r="V66" s="142"/>
      <c r="W66" s="142"/>
      <c r="X66" s="142"/>
      <c r="Y66" s="120"/>
      <c r="Z66" s="120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</row>
    <row r="67" spans="1:52" s="22" customFormat="1" ht="114" customHeight="1" x14ac:dyDescent="0.4">
      <c r="A67" s="78"/>
      <c r="B67" s="143" t="s">
        <v>51</v>
      </c>
      <c r="C67" s="70"/>
      <c r="D67" s="70"/>
      <c r="E67" s="70"/>
      <c r="F67" s="79" t="s">
        <v>33</v>
      </c>
      <c r="G67" s="29">
        <f t="shared" ref="G67:O67" si="17">G68+G69</f>
        <v>0</v>
      </c>
      <c r="H67" s="29">
        <f t="shared" si="17"/>
        <v>0</v>
      </c>
      <c r="I67" s="29">
        <f t="shared" si="17"/>
        <v>0</v>
      </c>
      <c r="J67" s="29">
        <f t="shared" si="17"/>
        <v>0</v>
      </c>
      <c r="K67" s="29">
        <f t="shared" si="17"/>
        <v>0</v>
      </c>
      <c r="L67" s="29">
        <f t="shared" si="17"/>
        <v>0</v>
      </c>
      <c r="M67" s="29">
        <f t="shared" si="17"/>
        <v>0</v>
      </c>
      <c r="N67" s="29">
        <f t="shared" si="17"/>
        <v>0</v>
      </c>
      <c r="O67" s="29">
        <f t="shared" si="17"/>
        <v>0</v>
      </c>
      <c r="P67" s="73"/>
      <c r="Q67" s="73"/>
      <c r="R67" s="73"/>
      <c r="S67" s="73"/>
      <c r="T67" s="73"/>
      <c r="U67" s="73"/>
      <c r="V67" s="73"/>
      <c r="W67" s="73"/>
      <c r="X67" s="73"/>
      <c r="Y67" s="75"/>
      <c r="Z67" s="75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</row>
    <row r="68" spans="1:52" s="22" customFormat="1" ht="241.5" customHeight="1" x14ac:dyDescent="0.4">
      <c r="A68" s="78"/>
      <c r="B68" s="143"/>
      <c r="C68" s="70"/>
      <c r="D68" s="70"/>
      <c r="E68" s="70"/>
      <c r="F68" s="79" t="s">
        <v>34</v>
      </c>
      <c r="G68" s="29">
        <f>H68+I68+J68+K68+L68+M68+N68</f>
        <v>0</v>
      </c>
      <c r="H68" s="30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73"/>
      <c r="Q68" s="73"/>
      <c r="R68" s="73"/>
      <c r="S68" s="73"/>
      <c r="T68" s="73"/>
      <c r="U68" s="73"/>
      <c r="V68" s="73"/>
      <c r="W68" s="73"/>
      <c r="X68" s="73"/>
      <c r="Y68" s="75"/>
      <c r="Z68" s="75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</row>
    <row r="69" spans="1:52" s="22" customFormat="1" ht="174" customHeight="1" x14ac:dyDescent="0.4">
      <c r="A69" s="78"/>
      <c r="B69" s="144"/>
      <c r="C69" s="70"/>
      <c r="D69" s="70"/>
      <c r="E69" s="70"/>
      <c r="F69" s="79" t="s">
        <v>35</v>
      </c>
      <c r="G69" s="29">
        <f>H69+I69+J69+K69+L69+M69+N69</f>
        <v>0</v>
      </c>
      <c r="H69" s="30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73"/>
      <c r="Q69" s="73"/>
      <c r="R69" s="73"/>
      <c r="S69" s="73"/>
      <c r="T69" s="73"/>
      <c r="U69" s="73"/>
      <c r="V69" s="73"/>
      <c r="W69" s="73"/>
      <c r="X69" s="73"/>
      <c r="Y69" s="75"/>
      <c r="Z69" s="75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</row>
    <row r="70" spans="1:52" s="22" customFormat="1" ht="214.5" customHeight="1" x14ac:dyDescent="0.4">
      <c r="A70" s="78"/>
      <c r="B70" s="79" t="s">
        <v>52</v>
      </c>
      <c r="C70" s="24">
        <v>2019</v>
      </c>
      <c r="D70" s="24">
        <v>2026</v>
      </c>
      <c r="E70" s="26" t="s">
        <v>32</v>
      </c>
      <c r="F70" s="26" t="s">
        <v>32</v>
      </c>
      <c r="G70" s="29" t="s">
        <v>32</v>
      </c>
      <c r="H70" s="30" t="s">
        <v>32</v>
      </c>
      <c r="I70" s="29" t="s">
        <v>32</v>
      </c>
      <c r="J70" s="29" t="s">
        <v>32</v>
      </c>
      <c r="K70" s="29" t="s">
        <v>32</v>
      </c>
      <c r="L70" s="29" t="s">
        <v>32</v>
      </c>
      <c r="M70" s="29" t="s">
        <v>32</v>
      </c>
      <c r="N70" s="29" t="s">
        <v>32</v>
      </c>
      <c r="O70" s="29" t="s">
        <v>32</v>
      </c>
      <c r="P70" s="79"/>
      <c r="Q70" s="79"/>
      <c r="R70" s="79"/>
      <c r="S70" s="79"/>
      <c r="T70" s="79"/>
      <c r="U70" s="79"/>
      <c r="V70" s="79"/>
      <c r="W70" s="79"/>
      <c r="X70" s="79"/>
      <c r="Y70" s="84"/>
      <c r="Z70" s="84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</row>
    <row r="71" spans="1:52" s="22" customFormat="1" ht="136.5" customHeight="1" x14ac:dyDescent="0.4">
      <c r="A71" s="118"/>
      <c r="B71" s="145" t="s">
        <v>41</v>
      </c>
      <c r="C71" s="135"/>
      <c r="D71" s="135"/>
      <c r="E71" s="104" t="s">
        <v>37</v>
      </c>
      <c r="F71" s="71" t="s">
        <v>33</v>
      </c>
      <c r="G71" s="80">
        <f t="shared" ref="G71:O71" si="18">G72+G73</f>
        <v>242142348.76999998</v>
      </c>
      <c r="H71" s="80">
        <f t="shared" si="18"/>
        <v>30441009.300000001</v>
      </c>
      <c r="I71" s="80">
        <f t="shared" si="18"/>
        <v>29486832.310000002</v>
      </c>
      <c r="J71" s="80">
        <f t="shared" si="18"/>
        <v>30658639.299999997</v>
      </c>
      <c r="K71" s="80">
        <f t="shared" si="18"/>
        <v>40799520.370000005</v>
      </c>
      <c r="L71" s="80">
        <f t="shared" si="18"/>
        <v>46312638.769999996</v>
      </c>
      <c r="M71" s="93">
        <f t="shared" si="18"/>
        <v>42213033.600000001</v>
      </c>
      <c r="N71" s="80">
        <f t="shared" si="18"/>
        <v>22230675.120000001</v>
      </c>
      <c r="O71" s="80">
        <f t="shared" si="18"/>
        <v>22230675.120000001</v>
      </c>
      <c r="P71" s="104" t="s">
        <v>62</v>
      </c>
      <c r="Q71" s="104" t="s">
        <v>61</v>
      </c>
      <c r="R71" s="104"/>
      <c r="S71" s="154">
        <v>0.1</v>
      </c>
      <c r="T71" s="154">
        <v>0.1</v>
      </c>
      <c r="U71" s="154">
        <v>0.1</v>
      </c>
      <c r="V71" s="154">
        <v>0.1</v>
      </c>
      <c r="W71" s="154">
        <v>0.1</v>
      </c>
      <c r="X71" s="154">
        <v>0.1</v>
      </c>
      <c r="Y71" s="157">
        <v>0.1</v>
      </c>
      <c r="Z71" s="157">
        <v>0.1</v>
      </c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</row>
    <row r="72" spans="1:52" s="22" customFormat="1" ht="282.75" customHeight="1" x14ac:dyDescent="0.4">
      <c r="A72" s="118"/>
      <c r="B72" s="146"/>
      <c r="C72" s="136"/>
      <c r="D72" s="136"/>
      <c r="E72" s="105"/>
      <c r="F72" s="79" t="s">
        <v>34</v>
      </c>
      <c r="G72" s="29">
        <f>H72+I72+J72+K72+L72+M72+N72</f>
        <v>79580092.890000001</v>
      </c>
      <c r="H72" s="30">
        <f>H75+H79+H82+H85+H88+H92+H98+H101+H104</f>
        <v>12522553.68</v>
      </c>
      <c r="I72" s="30">
        <f>I75+I79+I82+I85+I88+I92+I98+I101+I104</f>
        <v>6524763.9199999999</v>
      </c>
      <c r="J72" s="30">
        <f>J75+J79+J82+J85+J88+J92+J98+J101+J104+J107+J110+J113</f>
        <v>3794775.7699999996</v>
      </c>
      <c r="K72" s="30">
        <f>K75+K79+K82+K85+K88+K92+K98+K101+K104+K107+K110+K113</f>
        <v>10899986.57</v>
      </c>
      <c r="L72" s="30">
        <f>L75+L79+L82+L85+L88+L92+L98+L101+L104+L107+L110+L113+L116+L119</f>
        <v>11114251.370000001</v>
      </c>
      <c r="M72" s="30">
        <f t="shared" ref="M72:O73" si="19">M75+M79+M82+M85+M88+M92+M98+M101+M104+M107+M110+M113</f>
        <v>12493086.459999999</v>
      </c>
      <c r="N72" s="30">
        <f t="shared" si="19"/>
        <v>22230675.120000001</v>
      </c>
      <c r="O72" s="30">
        <f t="shared" si="19"/>
        <v>22230675.120000001</v>
      </c>
      <c r="P72" s="105"/>
      <c r="Q72" s="105"/>
      <c r="R72" s="105"/>
      <c r="S72" s="155"/>
      <c r="T72" s="155"/>
      <c r="U72" s="155"/>
      <c r="V72" s="155"/>
      <c r="W72" s="155"/>
      <c r="X72" s="155"/>
      <c r="Y72" s="158"/>
      <c r="Z72" s="15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</row>
    <row r="73" spans="1:52" s="22" customFormat="1" ht="174" customHeight="1" x14ac:dyDescent="0.4">
      <c r="A73" s="118"/>
      <c r="B73" s="147"/>
      <c r="C73" s="137"/>
      <c r="D73" s="137"/>
      <c r="E73" s="106"/>
      <c r="F73" s="79" t="s">
        <v>35</v>
      </c>
      <c r="G73" s="29">
        <f>H73+I73+J73+K73+L73+M73+N73</f>
        <v>162562255.88</v>
      </c>
      <c r="H73" s="30">
        <f>H76+H80+H83+H86+H89+H93+H99+H102+H105</f>
        <v>17918455.620000001</v>
      </c>
      <c r="I73" s="30">
        <f>I76+I80+I83+I86+I89+I93+I99+I102+I105</f>
        <v>22962068.390000004</v>
      </c>
      <c r="J73" s="30">
        <f>J76+J80+J83+J86+J89+J93+J99+J102+J105+J108+J111+J114</f>
        <v>26863863.529999997</v>
      </c>
      <c r="K73" s="30">
        <f>K76+K80+K83+K86+K89+K93+K99+K102+K105+K108+K111+K114</f>
        <v>29899533.800000001</v>
      </c>
      <c r="L73" s="30">
        <f>L76+L80+L83+L86+L89+L93+L99+L102+L105+L108+L111+L114+L117+L120</f>
        <v>35198387.399999999</v>
      </c>
      <c r="M73" s="30">
        <f t="shared" si="19"/>
        <v>29719947.140000001</v>
      </c>
      <c r="N73" s="30">
        <f t="shared" si="19"/>
        <v>0</v>
      </c>
      <c r="O73" s="30">
        <f t="shared" si="19"/>
        <v>0</v>
      </c>
      <c r="P73" s="106"/>
      <c r="Q73" s="106"/>
      <c r="R73" s="106"/>
      <c r="S73" s="156"/>
      <c r="T73" s="156"/>
      <c r="U73" s="156"/>
      <c r="V73" s="156"/>
      <c r="W73" s="156"/>
      <c r="X73" s="156"/>
      <c r="Y73" s="159"/>
      <c r="Z73" s="159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</row>
    <row r="74" spans="1:52" s="22" customFormat="1" ht="115.5" customHeight="1" x14ac:dyDescent="0.4">
      <c r="A74" s="118"/>
      <c r="B74" s="104" t="s">
        <v>78</v>
      </c>
      <c r="C74" s="135"/>
      <c r="D74" s="135"/>
      <c r="E74" s="135"/>
      <c r="F74" s="71" t="s">
        <v>33</v>
      </c>
      <c r="G74" s="80">
        <f t="shared" ref="G74:O74" si="20">G75+G76</f>
        <v>0</v>
      </c>
      <c r="H74" s="80">
        <f t="shared" si="20"/>
        <v>0</v>
      </c>
      <c r="I74" s="80">
        <f t="shared" si="20"/>
        <v>0</v>
      </c>
      <c r="J74" s="80">
        <f t="shared" si="20"/>
        <v>0</v>
      </c>
      <c r="K74" s="80">
        <f t="shared" si="20"/>
        <v>0</v>
      </c>
      <c r="L74" s="80">
        <f t="shared" si="20"/>
        <v>0</v>
      </c>
      <c r="M74" s="93">
        <f t="shared" si="20"/>
        <v>0</v>
      </c>
      <c r="N74" s="80">
        <f t="shared" si="20"/>
        <v>0</v>
      </c>
      <c r="O74" s="80">
        <f t="shared" si="20"/>
        <v>0</v>
      </c>
      <c r="Q74" s="104"/>
      <c r="R74" s="104"/>
      <c r="S74" s="148"/>
      <c r="T74" s="148"/>
      <c r="U74" s="148"/>
      <c r="V74" s="148"/>
      <c r="W74" s="148"/>
      <c r="X74" s="148"/>
      <c r="Y74" s="151"/>
      <c r="Z74" s="151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</row>
    <row r="75" spans="1:52" s="22" customFormat="1" ht="223.5" customHeight="1" x14ac:dyDescent="0.4">
      <c r="A75" s="118"/>
      <c r="B75" s="105"/>
      <c r="C75" s="136"/>
      <c r="D75" s="136"/>
      <c r="E75" s="136"/>
      <c r="F75" s="79" t="s">
        <v>34</v>
      </c>
      <c r="G75" s="29">
        <f>H75+I75+J75+K75+L75+M75+N75</f>
        <v>0</v>
      </c>
      <c r="H75" s="30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Q75" s="105"/>
      <c r="R75" s="105"/>
      <c r="S75" s="149"/>
      <c r="T75" s="149"/>
      <c r="U75" s="149"/>
      <c r="V75" s="149"/>
      <c r="W75" s="149"/>
      <c r="X75" s="149"/>
      <c r="Y75" s="152"/>
      <c r="Z75" s="152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</row>
    <row r="76" spans="1:52" s="22" customFormat="1" ht="174" customHeight="1" x14ac:dyDescent="0.4">
      <c r="A76" s="118"/>
      <c r="B76" s="106"/>
      <c r="C76" s="137"/>
      <c r="D76" s="137"/>
      <c r="E76" s="137"/>
      <c r="F76" s="79" t="s">
        <v>35</v>
      </c>
      <c r="G76" s="29">
        <f>H76+I76+J76+K76+L76+M76+N76</f>
        <v>0</v>
      </c>
      <c r="H76" s="30" t="s">
        <v>36</v>
      </c>
      <c r="I76" s="29" t="s">
        <v>36</v>
      </c>
      <c r="J76" s="29" t="s">
        <v>36</v>
      </c>
      <c r="K76" s="29" t="s">
        <v>36</v>
      </c>
      <c r="L76" s="29" t="s">
        <v>36</v>
      </c>
      <c r="M76" s="29" t="s">
        <v>36</v>
      </c>
      <c r="N76" s="29" t="s">
        <v>36</v>
      </c>
      <c r="O76" s="29" t="s">
        <v>36</v>
      </c>
      <c r="Q76" s="106"/>
      <c r="R76" s="106"/>
      <c r="S76" s="150"/>
      <c r="T76" s="150"/>
      <c r="U76" s="150"/>
      <c r="V76" s="150"/>
      <c r="W76" s="150"/>
      <c r="X76" s="150"/>
      <c r="Y76" s="153"/>
      <c r="Z76" s="153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</row>
    <row r="77" spans="1:52" s="22" customFormat="1" ht="102" customHeight="1" x14ac:dyDescent="0.4">
      <c r="A77" s="118"/>
      <c r="B77" s="104" t="s">
        <v>141</v>
      </c>
      <c r="C77" s="135"/>
      <c r="D77" s="135"/>
      <c r="E77" s="135"/>
      <c r="F77" s="104" t="s">
        <v>33</v>
      </c>
      <c r="G77" s="138">
        <f t="shared" ref="G77:O77" si="21">G79+G80</f>
        <v>421517.33</v>
      </c>
      <c r="H77" s="138">
        <f t="shared" si="21"/>
        <v>106211.2</v>
      </c>
      <c r="I77" s="138">
        <f t="shared" si="21"/>
        <v>0</v>
      </c>
      <c r="J77" s="138">
        <f t="shared" si="21"/>
        <v>85306.13</v>
      </c>
      <c r="K77" s="138">
        <f t="shared" si="21"/>
        <v>60000</v>
      </c>
      <c r="L77" s="138">
        <f t="shared" si="21"/>
        <v>120000</v>
      </c>
      <c r="M77" s="138">
        <f t="shared" si="21"/>
        <v>50000</v>
      </c>
      <c r="N77" s="138">
        <f t="shared" si="21"/>
        <v>0</v>
      </c>
      <c r="O77" s="138">
        <f t="shared" si="21"/>
        <v>0</v>
      </c>
      <c r="P77" s="104" t="s">
        <v>32</v>
      </c>
      <c r="Q77" s="104" t="s">
        <v>32</v>
      </c>
      <c r="R77" s="104" t="s">
        <v>32</v>
      </c>
      <c r="S77" s="104" t="s">
        <v>32</v>
      </c>
      <c r="T77" s="104" t="s">
        <v>32</v>
      </c>
      <c r="U77" s="104" t="s">
        <v>32</v>
      </c>
      <c r="V77" s="104" t="s">
        <v>32</v>
      </c>
      <c r="W77" s="104" t="s">
        <v>32</v>
      </c>
      <c r="X77" s="104" t="s">
        <v>32</v>
      </c>
      <c r="Y77" s="133" t="s">
        <v>32</v>
      </c>
      <c r="Z77" s="133" t="s">
        <v>32</v>
      </c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</row>
    <row r="78" spans="1:52" s="22" customFormat="1" ht="28.5" hidden="1" customHeight="1" x14ac:dyDescent="0.4">
      <c r="A78" s="118"/>
      <c r="B78" s="105"/>
      <c r="C78" s="136"/>
      <c r="D78" s="136"/>
      <c r="E78" s="136"/>
      <c r="F78" s="106"/>
      <c r="G78" s="139"/>
      <c r="H78" s="139"/>
      <c r="I78" s="139"/>
      <c r="J78" s="139"/>
      <c r="K78" s="139"/>
      <c r="L78" s="139"/>
      <c r="M78" s="139"/>
      <c r="N78" s="139"/>
      <c r="O78" s="139"/>
      <c r="P78" s="105"/>
      <c r="Q78" s="105"/>
      <c r="R78" s="105"/>
      <c r="S78" s="105"/>
      <c r="T78" s="105"/>
      <c r="U78" s="105"/>
      <c r="V78" s="105"/>
      <c r="W78" s="105"/>
      <c r="X78" s="105"/>
      <c r="Y78" s="134"/>
      <c r="Z78" s="134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</row>
    <row r="79" spans="1:52" s="22" customFormat="1" ht="219" customHeight="1" x14ac:dyDescent="0.4">
      <c r="A79" s="118"/>
      <c r="B79" s="105"/>
      <c r="C79" s="136"/>
      <c r="D79" s="136"/>
      <c r="E79" s="136"/>
      <c r="F79" s="79" t="s">
        <v>34</v>
      </c>
      <c r="G79" s="29">
        <f>H79+I79+J79+K79+L79+M79+N79</f>
        <v>421517.33</v>
      </c>
      <c r="H79" s="30">
        <v>106211.2</v>
      </c>
      <c r="I79" s="29">
        <v>0</v>
      </c>
      <c r="J79" s="29">
        <f>150000-14286-20410-30000+2.13-25355.39+25355.39</f>
        <v>85306.13</v>
      </c>
      <c r="K79" s="29">
        <v>60000</v>
      </c>
      <c r="L79" s="29">
        <f>50000+70000</f>
        <v>120000</v>
      </c>
      <c r="M79" s="29">
        <v>50000</v>
      </c>
      <c r="N79" s="29">
        <v>0</v>
      </c>
      <c r="O79" s="29">
        <v>0</v>
      </c>
      <c r="P79" s="105"/>
      <c r="Q79" s="105"/>
      <c r="R79" s="105"/>
      <c r="S79" s="105"/>
      <c r="T79" s="105"/>
      <c r="U79" s="105"/>
      <c r="V79" s="105"/>
      <c r="W79" s="105"/>
      <c r="X79" s="105"/>
      <c r="Y79" s="134"/>
      <c r="Z79" s="134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</row>
    <row r="80" spans="1:52" s="22" customFormat="1" ht="174" customHeight="1" x14ac:dyDescent="0.4">
      <c r="A80" s="118"/>
      <c r="B80" s="106"/>
      <c r="C80" s="137"/>
      <c r="D80" s="137"/>
      <c r="E80" s="137"/>
      <c r="F80" s="79" t="s">
        <v>35</v>
      </c>
      <c r="G80" s="29">
        <f>H80+I80+J80+K80+L80+M80+N80</f>
        <v>0</v>
      </c>
      <c r="H80" s="30" t="s">
        <v>36</v>
      </c>
      <c r="I80" s="29" t="s">
        <v>36</v>
      </c>
      <c r="J80" s="29" t="s">
        <v>36</v>
      </c>
      <c r="K80" s="29" t="s">
        <v>36</v>
      </c>
      <c r="L80" s="29" t="s">
        <v>36</v>
      </c>
      <c r="M80" s="29" t="s">
        <v>36</v>
      </c>
      <c r="N80" s="29" t="s">
        <v>36</v>
      </c>
      <c r="O80" s="29" t="s">
        <v>36</v>
      </c>
      <c r="P80" s="106"/>
      <c r="Q80" s="106"/>
      <c r="R80" s="106"/>
      <c r="S80" s="106"/>
      <c r="T80" s="106"/>
      <c r="U80" s="106"/>
      <c r="V80" s="106"/>
      <c r="W80" s="106"/>
      <c r="X80" s="106"/>
      <c r="Y80" s="120"/>
      <c r="Z80" s="120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</row>
    <row r="81" spans="1:52" s="22" customFormat="1" ht="129" customHeight="1" x14ac:dyDescent="0.4">
      <c r="A81" s="118"/>
      <c r="B81" s="104" t="s">
        <v>53</v>
      </c>
      <c r="C81" s="135"/>
      <c r="D81" s="135"/>
      <c r="E81" s="135"/>
      <c r="F81" s="71" t="s">
        <v>33</v>
      </c>
      <c r="G81" s="80">
        <f t="shared" ref="G81:O81" si="22">G82+G83</f>
        <v>122287.8</v>
      </c>
      <c r="H81" s="80">
        <f t="shared" si="22"/>
        <v>42988.800000000003</v>
      </c>
      <c r="I81" s="80">
        <f t="shared" si="22"/>
        <v>79299</v>
      </c>
      <c r="J81" s="80">
        <f t="shared" si="22"/>
        <v>0</v>
      </c>
      <c r="K81" s="80">
        <f t="shared" si="22"/>
        <v>0</v>
      </c>
      <c r="L81" s="80">
        <f t="shared" si="22"/>
        <v>0</v>
      </c>
      <c r="M81" s="93">
        <f t="shared" si="22"/>
        <v>0</v>
      </c>
      <c r="N81" s="80">
        <f t="shared" si="22"/>
        <v>0</v>
      </c>
      <c r="O81" s="80">
        <f t="shared" si="22"/>
        <v>0</v>
      </c>
      <c r="P81" s="104" t="s">
        <v>32</v>
      </c>
      <c r="Q81" s="104" t="s">
        <v>32</v>
      </c>
      <c r="R81" s="104" t="s">
        <v>32</v>
      </c>
      <c r="S81" s="104" t="s">
        <v>32</v>
      </c>
      <c r="T81" s="104" t="s">
        <v>32</v>
      </c>
      <c r="U81" s="104" t="s">
        <v>32</v>
      </c>
      <c r="V81" s="104" t="s">
        <v>32</v>
      </c>
      <c r="W81" s="104" t="s">
        <v>32</v>
      </c>
      <c r="X81" s="104" t="s">
        <v>32</v>
      </c>
      <c r="Y81" s="133" t="s">
        <v>32</v>
      </c>
      <c r="Z81" s="133" t="s">
        <v>32</v>
      </c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</row>
    <row r="82" spans="1:52" s="22" customFormat="1" ht="219" customHeight="1" x14ac:dyDescent="0.4">
      <c r="A82" s="118"/>
      <c r="B82" s="105"/>
      <c r="C82" s="136"/>
      <c r="D82" s="136"/>
      <c r="E82" s="136"/>
      <c r="F82" s="79" t="s">
        <v>34</v>
      </c>
      <c r="G82" s="29">
        <f>H82+I82+J82+K82+L82+M82+N82</f>
        <v>122287.8</v>
      </c>
      <c r="H82" s="30">
        <v>42988.800000000003</v>
      </c>
      <c r="I82" s="29">
        <v>79299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105"/>
      <c r="Q82" s="105"/>
      <c r="R82" s="105"/>
      <c r="S82" s="105"/>
      <c r="T82" s="105"/>
      <c r="U82" s="105"/>
      <c r="V82" s="105"/>
      <c r="W82" s="105"/>
      <c r="X82" s="105"/>
      <c r="Y82" s="134"/>
      <c r="Z82" s="134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</row>
    <row r="83" spans="1:52" s="22" customFormat="1" ht="174" customHeight="1" x14ac:dyDescent="0.4">
      <c r="A83" s="118"/>
      <c r="B83" s="106"/>
      <c r="C83" s="137"/>
      <c r="D83" s="137"/>
      <c r="E83" s="137"/>
      <c r="F83" s="79" t="s">
        <v>35</v>
      </c>
      <c r="G83" s="29">
        <f>H83+I83+J83+K83+L83+M83+N83</f>
        <v>0</v>
      </c>
      <c r="H83" s="30" t="s">
        <v>36</v>
      </c>
      <c r="I83" s="29" t="s">
        <v>36</v>
      </c>
      <c r="J83" s="29" t="s">
        <v>36</v>
      </c>
      <c r="K83" s="29" t="s">
        <v>36</v>
      </c>
      <c r="L83" s="29" t="s">
        <v>36</v>
      </c>
      <c r="M83" s="29" t="s">
        <v>36</v>
      </c>
      <c r="N83" s="29" t="s">
        <v>36</v>
      </c>
      <c r="O83" s="29" t="s">
        <v>36</v>
      </c>
      <c r="P83" s="106"/>
      <c r="Q83" s="106"/>
      <c r="R83" s="106"/>
      <c r="S83" s="106"/>
      <c r="T83" s="106"/>
      <c r="U83" s="106"/>
      <c r="V83" s="106"/>
      <c r="W83" s="106"/>
      <c r="X83" s="106"/>
      <c r="Y83" s="120"/>
      <c r="Z83" s="120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</row>
    <row r="84" spans="1:52" s="22" customFormat="1" ht="112.5" customHeight="1" x14ac:dyDescent="0.4">
      <c r="A84" s="118"/>
      <c r="B84" s="104" t="s">
        <v>8</v>
      </c>
      <c r="C84" s="135"/>
      <c r="D84" s="135"/>
      <c r="E84" s="135"/>
      <c r="F84" s="71" t="s">
        <v>33</v>
      </c>
      <c r="G84" s="80">
        <f t="shared" ref="G84:O84" si="23">G85+G86</f>
        <v>84000</v>
      </c>
      <c r="H84" s="80">
        <f t="shared" si="23"/>
        <v>14000</v>
      </c>
      <c r="I84" s="80">
        <f t="shared" si="23"/>
        <v>14000</v>
      </c>
      <c r="J84" s="80">
        <f t="shared" si="23"/>
        <v>14000</v>
      </c>
      <c r="K84" s="80">
        <f t="shared" si="23"/>
        <v>14000</v>
      </c>
      <c r="L84" s="80">
        <f t="shared" si="23"/>
        <v>14000</v>
      </c>
      <c r="M84" s="93">
        <f t="shared" si="23"/>
        <v>14000</v>
      </c>
      <c r="N84" s="80">
        <f t="shared" si="23"/>
        <v>0</v>
      </c>
      <c r="O84" s="80">
        <f t="shared" si="23"/>
        <v>0</v>
      </c>
      <c r="P84" s="104" t="s">
        <v>32</v>
      </c>
      <c r="Q84" s="104" t="s">
        <v>32</v>
      </c>
      <c r="R84" s="104" t="s">
        <v>32</v>
      </c>
      <c r="S84" s="104" t="s">
        <v>32</v>
      </c>
      <c r="T84" s="104" t="s">
        <v>32</v>
      </c>
      <c r="U84" s="104" t="s">
        <v>32</v>
      </c>
      <c r="V84" s="104" t="s">
        <v>32</v>
      </c>
      <c r="W84" s="104" t="s">
        <v>32</v>
      </c>
      <c r="X84" s="104" t="s">
        <v>32</v>
      </c>
      <c r="Y84" s="133" t="s">
        <v>32</v>
      </c>
      <c r="Z84" s="133" t="s">
        <v>32</v>
      </c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</row>
    <row r="85" spans="1:52" s="22" customFormat="1" ht="234" customHeight="1" x14ac:dyDescent="0.4">
      <c r="A85" s="118"/>
      <c r="B85" s="105"/>
      <c r="C85" s="136"/>
      <c r="D85" s="136"/>
      <c r="E85" s="136"/>
      <c r="F85" s="79" t="s">
        <v>34</v>
      </c>
      <c r="G85" s="29">
        <f>H85+I85+J85+K85+L85+N85+M85</f>
        <v>84000</v>
      </c>
      <c r="H85" s="30">
        <v>14000</v>
      </c>
      <c r="I85" s="29">
        <v>14000</v>
      </c>
      <c r="J85" s="29">
        <v>14000</v>
      </c>
      <c r="K85" s="29">
        <v>14000</v>
      </c>
      <c r="L85" s="29">
        <v>14000</v>
      </c>
      <c r="M85" s="29">
        <v>14000</v>
      </c>
      <c r="N85" s="29">
        <v>0</v>
      </c>
      <c r="O85" s="29">
        <v>0</v>
      </c>
      <c r="P85" s="105"/>
      <c r="Q85" s="105"/>
      <c r="R85" s="105"/>
      <c r="S85" s="105"/>
      <c r="T85" s="105"/>
      <c r="U85" s="105"/>
      <c r="V85" s="105"/>
      <c r="W85" s="105"/>
      <c r="X85" s="105"/>
      <c r="Y85" s="134"/>
      <c r="Z85" s="134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</row>
    <row r="86" spans="1:52" s="22" customFormat="1" ht="143.25" customHeight="1" x14ac:dyDescent="0.4">
      <c r="A86" s="118"/>
      <c r="B86" s="106"/>
      <c r="C86" s="137"/>
      <c r="D86" s="137"/>
      <c r="E86" s="137"/>
      <c r="F86" s="79" t="s">
        <v>35</v>
      </c>
      <c r="G86" s="29">
        <f>H86+I86+J86+K86+L86+N86+M86</f>
        <v>0</v>
      </c>
      <c r="H86" s="30" t="s">
        <v>36</v>
      </c>
      <c r="I86" s="29" t="s">
        <v>36</v>
      </c>
      <c r="J86" s="29" t="s">
        <v>36</v>
      </c>
      <c r="K86" s="29" t="s">
        <v>36</v>
      </c>
      <c r="L86" s="29" t="s">
        <v>36</v>
      </c>
      <c r="M86" s="29" t="s">
        <v>36</v>
      </c>
      <c r="N86" s="29" t="s">
        <v>36</v>
      </c>
      <c r="O86" s="29" t="s">
        <v>36</v>
      </c>
      <c r="P86" s="106"/>
      <c r="Q86" s="106"/>
      <c r="R86" s="106"/>
      <c r="S86" s="106"/>
      <c r="T86" s="106"/>
      <c r="U86" s="106"/>
      <c r="V86" s="106"/>
      <c r="W86" s="106"/>
      <c r="X86" s="106"/>
      <c r="Y86" s="120"/>
      <c r="Z86" s="120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</row>
    <row r="87" spans="1:52" s="22" customFormat="1" ht="105.75" customHeight="1" x14ac:dyDescent="0.4">
      <c r="A87" s="118"/>
      <c r="B87" s="104" t="s">
        <v>54</v>
      </c>
      <c r="C87" s="135"/>
      <c r="D87" s="135"/>
      <c r="E87" s="135"/>
      <c r="F87" s="71" t="s">
        <v>33</v>
      </c>
      <c r="G87" s="80">
        <f t="shared" ref="G87:O87" si="24">G88+G89</f>
        <v>0</v>
      </c>
      <c r="H87" s="80">
        <f t="shared" si="24"/>
        <v>0</v>
      </c>
      <c r="I87" s="80">
        <f t="shared" si="24"/>
        <v>0</v>
      </c>
      <c r="J87" s="80">
        <f t="shared" si="24"/>
        <v>0</v>
      </c>
      <c r="K87" s="80">
        <f t="shared" si="24"/>
        <v>0</v>
      </c>
      <c r="L87" s="80">
        <f t="shared" si="24"/>
        <v>0</v>
      </c>
      <c r="M87" s="93">
        <f t="shared" si="24"/>
        <v>0</v>
      </c>
      <c r="N87" s="80">
        <f t="shared" si="24"/>
        <v>0</v>
      </c>
      <c r="O87" s="80">
        <f t="shared" si="24"/>
        <v>0</v>
      </c>
      <c r="P87" s="104" t="s">
        <v>32</v>
      </c>
      <c r="Q87" s="104" t="s">
        <v>32</v>
      </c>
      <c r="R87" s="104" t="s">
        <v>32</v>
      </c>
      <c r="S87" s="104" t="s">
        <v>32</v>
      </c>
      <c r="T87" s="104" t="s">
        <v>32</v>
      </c>
      <c r="U87" s="104" t="s">
        <v>32</v>
      </c>
      <c r="V87" s="104" t="s">
        <v>32</v>
      </c>
      <c r="W87" s="104" t="s">
        <v>32</v>
      </c>
      <c r="X87" s="104" t="s">
        <v>32</v>
      </c>
      <c r="Y87" s="133" t="s">
        <v>32</v>
      </c>
      <c r="Z87" s="133" t="s">
        <v>32</v>
      </c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</row>
    <row r="88" spans="1:52" s="22" customFormat="1" ht="246" customHeight="1" x14ac:dyDescent="0.4">
      <c r="A88" s="118"/>
      <c r="B88" s="105"/>
      <c r="C88" s="136"/>
      <c r="D88" s="136"/>
      <c r="E88" s="136"/>
      <c r="F88" s="79" t="s">
        <v>34</v>
      </c>
      <c r="G88" s="29">
        <f>SUM(H88:N88)</f>
        <v>0</v>
      </c>
      <c r="H88" s="30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105"/>
      <c r="Q88" s="105"/>
      <c r="R88" s="105"/>
      <c r="S88" s="105"/>
      <c r="T88" s="105"/>
      <c r="U88" s="105"/>
      <c r="V88" s="105"/>
      <c r="W88" s="105"/>
      <c r="X88" s="105"/>
      <c r="Y88" s="134"/>
      <c r="Z88" s="134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</row>
    <row r="89" spans="1:52" s="22" customFormat="1" ht="174" customHeight="1" x14ac:dyDescent="0.4">
      <c r="A89" s="118"/>
      <c r="B89" s="106"/>
      <c r="C89" s="137"/>
      <c r="D89" s="137"/>
      <c r="E89" s="137"/>
      <c r="F89" s="79" t="s">
        <v>35</v>
      </c>
      <c r="G89" s="29">
        <f>SUM(H89:N89)</f>
        <v>0</v>
      </c>
      <c r="H89" s="30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 t="s">
        <v>36</v>
      </c>
      <c r="O89" s="29" t="s">
        <v>36</v>
      </c>
      <c r="P89" s="106"/>
      <c r="Q89" s="106"/>
      <c r="R89" s="106"/>
      <c r="S89" s="106"/>
      <c r="T89" s="106"/>
      <c r="U89" s="106"/>
      <c r="V89" s="106"/>
      <c r="W89" s="106"/>
      <c r="X89" s="106"/>
      <c r="Y89" s="120"/>
      <c r="Z89" s="120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</row>
    <row r="90" spans="1:52" s="22" customFormat="1" ht="100.5" customHeight="1" x14ac:dyDescent="0.4">
      <c r="A90" s="118"/>
      <c r="B90" s="104" t="s">
        <v>55</v>
      </c>
      <c r="C90" s="135"/>
      <c r="D90" s="135"/>
      <c r="E90" s="135"/>
      <c r="F90" s="79" t="s">
        <v>33</v>
      </c>
      <c r="G90" s="29">
        <f t="shared" ref="G90:O90" si="25">G92+G93</f>
        <v>226243367.99000001</v>
      </c>
      <c r="H90" s="29">
        <f t="shared" si="25"/>
        <v>27995091.399999999</v>
      </c>
      <c r="I90" s="29">
        <f t="shared" si="25"/>
        <v>29087410.860000003</v>
      </c>
      <c r="J90" s="29">
        <f t="shared" si="25"/>
        <v>28824637.169999998</v>
      </c>
      <c r="K90" s="29">
        <f t="shared" si="25"/>
        <v>37731674.770000003</v>
      </c>
      <c r="L90" s="29">
        <f t="shared" si="25"/>
        <v>38839683.329999998</v>
      </c>
      <c r="M90" s="29">
        <f t="shared" si="25"/>
        <v>41534195.340000004</v>
      </c>
      <c r="N90" s="29">
        <f t="shared" si="25"/>
        <v>22230675.120000001</v>
      </c>
      <c r="O90" s="29">
        <f t="shared" si="25"/>
        <v>22230675.120000001</v>
      </c>
      <c r="P90" s="79" t="s">
        <v>32</v>
      </c>
      <c r="Q90" s="79" t="s">
        <v>32</v>
      </c>
      <c r="R90" s="79" t="s">
        <v>32</v>
      </c>
      <c r="S90" s="79" t="s">
        <v>32</v>
      </c>
      <c r="T90" s="79" t="s">
        <v>32</v>
      </c>
      <c r="U90" s="79" t="s">
        <v>32</v>
      </c>
      <c r="V90" s="79" t="s">
        <v>32</v>
      </c>
      <c r="W90" s="79" t="s">
        <v>32</v>
      </c>
      <c r="X90" s="79" t="s">
        <v>32</v>
      </c>
      <c r="Y90" s="84" t="s">
        <v>32</v>
      </c>
      <c r="Z90" s="84" t="s">
        <v>32</v>
      </c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</row>
    <row r="91" spans="1:52" s="22" customFormat="1" ht="4.5" hidden="1" customHeight="1" x14ac:dyDescent="0.4">
      <c r="A91" s="118"/>
      <c r="B91" s="105"/>
      <c r="C91" s="136"/>
      <c r="D91" s="136"/>
      <c r="E91" s="136"/>
      <c r="F91" s="79"/>
      <c r="G91" s="29"/>
      <c r="H91" s="30"/>
      <c r="I91" s="29"/>
      <c r="J91" s="29"/>
      <c r="K91" s="29"/>
      <c r="L91" s="29"/>
      <c r="M91" s="29"/>
      <c r="N91" s="29"/>
      <c r="O91" s="29"/>
      <c r="P91" s="79"/>
      <c r="Q91" s="79"/>
      <c r="R91" s="79"/>
      <c r="S91" s="79"/>
      <c r="T91" s="79"/>
      <c r="U91" s="79"/>
      <c r="V91" s="79"/>
      <c r="W91" s="79"/>
      <c r="X91" s="79"/>
      <c r="Y91" s="84"/>
      <c r="Z91" s="84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</row>
    <row r="92" spans="1:52" s="22" customFormat="1" ht="223.5" customHeight="1" x14ac:dyDescent="0.4">
      <c r="A92" s="118"/>
      <c r="B92" s="105"/>
      <c r="C92" s="136"/>
      <c r="D92" s="136"/>
      <c r="E92" s="136"/>
      <c r="F92" s="79" t="s">
        <v>34</v>
      </c>
      <c r="G92" s="29">
        <f>H92+I92+J92+K92+L92+M92+N92</f>
        <v>70081240.609999999</v>
      </c>
      <c r="H92" s="30">
        <v>10676635.779999999</v>
      </c>
      <c r="I92" s="29">
        <f>20869102.91-17259166.28+412566.97+131886.28+1500+521433+179500+114950+829150+4026.4+13742.24+650+2500+384297+25740+29553.5+163910.45</f>
        <v>6425342.4699999997</v>
      </c>
      <c r="J92" s="29">
        <f>3049921.26+200000+1532662.21+20410+14286+436650+14690+1500+30000+10690+2310+39000-2188598.6+33792.21+90740+40369.61+135612+74000-40369.61-41575-29000+136300-2.13+127635.61-4000-26250.46+0.54</f>
        <v>3660773.6399999997</v>
      </c>
      <c r="K92" s="29">
        <f>22192493.25-155000-14000-600000-300000-12332828.5-3724514+184851.53+55825.18+5906.7+1406959.7-1041771.66+430000+200000+125999+36000+28800+867356.33+1520735.8+21020+2879.63+115060-16462.09+165281.3+160223.01-2674.21</f>
        <v>9332140.9700000007</v>
      </c>
      <c r="L92" s="29">
        <f>42000+4211550+26860+1271888.06+78570-50000-30615-1025564.95+140000+121500-1189000+659018.41+23700+47950+305000+19638+12702+40949.59+7484+2090+2.87+100000+1546114.88+50898.98-42019.23-1015834.68</f>
        <v>5354882.9300000006</v>
      </c>
      <c r="M92" s="29">
        <f>12000+3713794+1121565.68+710000+4670+4700+54000+70000-29217.71+10000000+780000+50000+199400-4469563.29+32943.56-2315.48-11970.23+168109.7+9000-16326.53</f>
        <v>12400789.699999999</v>
      </c>
      <c r="N92" s="29">
        <f>12000+17023560+5141115.12+54000</f>
        <v>22230675.120000001</v>
      </c>
      <c r="O92" s="29">
        <f>12000+17023560+5141115.12+54000</f>
        <v>22230675.120000001</v>
      </c>
      <c r="P92" s="79"/>
      <c r="Q92" s="79"/>
      <c r="R92" s="79"/>
      <c r="S92" s="79"/>
      <c r="T92" s="79"/>
      <c r="U92" s="79"/>
      <c r="V92" s="79"/>
      <c r="W92" s="79"/>
      <c r="X92" s="79"/>
      <c r="Y92" s="84"/>
      <c r="Z92" s="84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</row>
    <row r="93" spans="1:52" s="22" customFormat="1" ht="174" customHeight="1" x14ac:dyDescent="0.4">
      <c r="A93" s="118"/>
      <c r="B93" s="106"/>
      <c r="C93" s="137"/>
      <c r="D93" s="137"/>
      <c r="E93" s="137"/>
      <c r="F93" s="79" t="s">
        <v>35</v>
      </c>
      <c r="G93" s="29">
        <f>H93+I93+J93+K93+L93+M93+N93</f>
        <v>156162127.38</v>
      </c>
      <c r="H93" s="30">
        <v>17318455.620000001</v>
      </c>
      <c r="I93" s="29">
        <f>17259166.28+5381340.99+21561.12</f>
        <v>22662068.390000004</v>
      </c>
      <c r="J93" s="29">
        <f>18844495.22+5704400.71-33792.21+648759.81</f>
        <v>25163863.529999997</v>
      </c>
      <c r="K93" s="29">
        <f>12332828.5+3724514+5826876.3+1500000-1500000+3186997+771461+2308300+248557</f>
        <v>28399533.800000001</v>
      </c>
      <c r="L93" s="29">
        <f>5577821+16453286+1189000+107983.83+5489519+4004056+116413+546721.57</f>
        <v>33484800.399999999</v>
      </c>
      <c r="M93" s="29">
        <f>13268366+4007046.64+11857993</f>
        <v>29133405.640000001</v>
      </c>
      <c r="N93" s="29" t="s">
        <v>36</v>
      </c>
      <c r="O93" s="29" t="s">
        <v>36</v>
      </c>
      <c r="P93" s="79"/>
      <c r="Q93" s="79"/>
      <c r="R93" s="79"/>
      <c r="S93" s="79"/>
      <c r="T93" s="79"/>
      <c r="U93" s="79"/>
      <c r="V93" s="79"/>
      <c r="W93" s="79"/>
      <c r="X93" s="79"/>
      <c r="Y93" s="84"/>
      <c r="Z93" s="84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</row>
    <row r="94" spans="1:52" s="22" customFormat="1" ht="111" customHeight="1" x14ac:dyDescent="0.4">
      <c r="A94" s="78"/>
      <c r="B94" s="160" t="s">
        <v>97</v>
      </c>
      <c r="C94" s="70"/>
      <c r="D94" s="70"/>
      <c r="E94" s="70"/>
      <c r="F94" s="79" t="s">
        <v>33</v>
      </c>
      <c r="G94" s="29">
        <f t="shared" ref="G94:O94" si="26">G95+G96</f>
        <v>177701278.89999998</v>
      </c>
      <c r="H94" s="29">
        <f t="shared" si="26"/>
        <v>26251551.27</v>
      </c>
      <c r="I94" s="29">
        <f t="shared" si="26"/>
        <v>26250443.899999999</v>
      </c>
      <c r="J94" s="29">
        <f t="shared" si="26"/>
        <v>26687796.870000001</v>
      </c>
      <c r="K94" s="29">
        <f t="shared" si="26"/>
        <v>32505516.440000001</v>
      </c>
      <c r="L94" s="29">
        <f t="shared" si="26"/>
        <v>36794898.859999999</v>
      </c>
      <c r="M94" s="29">
        <f t="shared" si="26"/>
        <v>29211071.559999999</v>
      </c>
      <c r="N94" s="29">
        <f t="shared" si="26"/>
        <v>0</v>
      </c>
      <c r="O94" s="29">
        <f t="shared" si="26"/>
        <v>0</v>
      </c>
      <c r="P94" s="104" t="s">
        <v>116</v>
      </c>
      <c r="Q94" s="104" t="s">
        <v>61</v>
      </c>
      <c r="R94" s="104"/>
      <c r="S94" s="104">
        <v>78.78</v>
      </c>
      <c r="T94" s="104">
        <v>77.349999999999994</v>
      </c>
      <c r="U94" s="104">
        <v>75.5</v>
      </c>
      <c r="V94" s="104">
        <v>77.56</v>
      </c>
      <c r="W94" s="104">
        <v>78.03</v>
      </c>
      <c r="X94" s="104">
        <v>72.75</v>
      </c>
      <c r="Y94" s="104">
        <v>72.75</v>
      </c>
      <c r="Z94" s="104">
        <v>72.75</v>
      </c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</row>
    <row r="95" spans="1:52" s="22" customFormat="1" ht="234" customHeight="1" x14ac:dyDescent="0.4">
      <c r="A95" s="78"/>
      <c r="B95" s="143"/>
      <c r="C95" s="70"/>
      <c r="D95" s="70"/>
      <c r="E95" s="70"/>
      <c r="F95" s="79" t="s">
        <v>34</v>
      </c>
      <c r="G95" s="29">
        <f>H95+I95+J95+K95+L95+M95+N95</f>
        <v>109522216.81999999</v>
      </c>
      <c r="H95" s="30">
        <f>21247214.65-12285399.25</f>
        <v>8961815.3999999985</v>
      </c>
      <c r="I95" s="29">
        <f>20869102.91</f>
        <v>20869102.91</v>
      </c>
      <c r="J95" s="29">
        <f>18350977.48+2965150.61+578288.39-1559777.39-3+0.26</f>
        <v>20334636.350000001</v>
      </c>
      <c r="K95" s="29">
        <f>16347101.4+4936824.6+5906.7-654229.2+21020+2879.63+115060+160223.01</f>
        <v>20934786.140000001</v>
      </c>
      <c r="L95" s="29">
        <f>21083614.92+27201.77-42019.23</f>
        <v>21068797.460000001</v>
      </c>
      <c r="M95" s="29">
        <f>17353078.56</f>
        <v>17353078.559999999</v>
      </c>
      <c r="N95" s="29">
        <v>0</v>
      </c>
      <c r="O95" s="29">
        <v>0</v>
      </c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</row>
    <row r="96" spans="1:52" s="22" customFormat="1" ht="211.5" customHeight="1" x14ac:dyDescent="0.4">
      <c r="A96" s="78"/>
      <c r="B96" s="144"/>
      <c r="C96" s="70"/>
      <c r="D96" s="70"/>
      <c r="E96" s="70"/>
      <c r="F96" s="79" t="s">
        <v>35</v>
      </c>
      <c r="G96" s="29">
        <f>H96+I96+J96+K96+L96+M96+N96</f>
        <v>68179062.079999998</v>
      </c>
      <c r="H96" s="30">
        <f>5004336.62+12285399.25</f>
        <v>17289735.870000001</v>
      </c>
      <c r="I96" s="29">
        <f>5381340.99</f>
        <v>5381340.9900000002</v>
      </c>
      <c r="J96" s="29">
        <f>5704400.71+648759.81</f>
        <v>6353160.5199999996</v>
      </c>
      <c r="K96" s="29">
        <f>4475327.4+1351548.9+3186997+2308300+248557</f>
        <v>11570730.300000001</v>
      </c>
      <c r="L96" s="29">
        <f>5685804.83+5489519+4004056+546721.57</f>
        <v>15726101.4</v>
      </c>
      <c r="M96" s="29">
        <v>11857993</v>
      </c>
      <c r="N96" s="29" t="s">
        <v>36</v>
      </c>
      <c r="O96" s="29" t="s">
        <v>36</v>
      </c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</row>
    <row r="97" spans="1:52" s="22" customFormat="1" ht="121.5" customHeight="1" x14ac:dyDescent="0.4">
      <c r="A97" s="118"/>
      <c r="B97" s="104" t="s">
        <v>56</v>
      </c>
      <c r="C97" s="135"/>
      <c r="D97" s="135"/>
      <c r="E97" s="135"/>
      <c r="F97" s="79" t="s">
        <v>33</v>
      </c>
      <c r="G97" s="29">
        <f t="shared" ref="G97:O97" si="27">G98+G99</f>
        <v>440487</v>
      </c>
      <c r="H97" s="29">
        <f t="shared" si="27"/>
        <v>440487</v>
      </c>
      <c r="I97" s="29">
        <f t="shared" si="27"/>
        <v>0</v>
      </c>
      <c r="J97" s="29">
        <f t="shared" si="27"/>
        <v>0</v>
      </c>
      <c r="K97" s="29">
        <f t="shared" si="27"/>
        <v>0</v>
      </c>
      <c r="L97" s="29">
        <f t="shared" si="27"/>
        <v>0</v>
      </c>
      <c r="M97" s="29">
        <f t="shared" si="27"/>
        <v>0</v>
      </c>
      <c r="N97" s="29">
        <f t="shared" si="27"/>
        <v>0</v>
      </c>
      <c r="O97" s="29">
        <f t="shared" si="27"/>
        <v>0</v>
      </c>
      <c r="P97" s="79" t="s">
        <v>32</v>
      </c>
      <c r="Q97" s="79" t="s">
        <v>32</v>
      </c>
      <c r="R97" s="79" t="s">
        <v>32</v>
      </c>
      <c r="S97" s="79" t="s">
        <v>32</v>
      </c>
      <c r="T97" s="79" t="s">
        <v>32</v>
      </c>
      <c r="U97" s="79" t="s">
        <v>32</v>
      </c>
      <c r="V97" s="79" t="s">
        <v>32</v>
      </c>
      <c r="W97" s="79" t="s">
        <v>32</v>
      </c>
      <c r="X97" s="79" t="s">
        <v>32</v>
      </c>
      <c r="Y97" s="84" t="s">
        <v>32</v>
      </c>
      <c r="Z97" s="84" t="s">
        <v>32</v>
      </c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</row>
    <row r="98" spans="1:52" s="22" customFormat="1" ht="223.5" customHeight="1" x14ac:dyDescent="0.4">
      <c r="A98" s="118"/>
      <c r="B98" s="105"/>
      <c r="C98" s="136"/>
      <c r="D98" s="136"/>
      <c r="E98" s="136"/>
      <c r="F98" s="79" t="s">
        <v>34</v>
      </c>
      <c r="G98" s="29">
        <f>H98+I98+J98+K98+L98+M98+N98</f>
        <v>440487</v>
      </c>
      <c r="H98" s="30">
        <v>440487</v>
      </c>
      <c r="I98" s="29">
        <v>0</v>
      </c>
      <c r="J98" s="29" t="s">
        <v>36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79"/>
      <c r="Q98" s="79"/>
      <c r="R98" s="79"/>
      <c r="S98" s="79"/>
      <c r="T98" s="79"/>
      <c r="U98" s="79"/>
      <c r="V98" s="79"/>
      <c r="W98" s="79"/>
      <c r="X98" s="79"/>
      <c r="Y98" s="84"/>
      <c r="Z98" s="84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</row>
    <row r="99" spans="1:52" s="22" customFormat="1" ht="174" customHeight="1" x14ac:dyDescent="0.4">
      <c r="A99" s="118"/>
      <c r="B99" s="106"/>
      <c r="C99" s="137"/>
      <c r="D99" s="137"/>
      <c r="E99" s="137"/>
      <c r="F99" s="79" t="s">
        <v>35</v>
      </c>
      <c r="G99" s="29">
        <f>H99+I99+J99+K99+L99+M99+N99</f>
        <v>0</v>
      </c>
      <c r="H99" s="30" t="s">
        <v>36</v>
      </c>
      <c r="I99" s="29" t="s">
        <v>36</v>
      </c>
      <c r="J99" s="29" t="s">
        <v>36</v>
      </c>
      <c r="K99" s="29" t="s">
        <v>36</v>
      </c>
      <c r="L99" s="29" t="s">
        <v>36</v>
      </c>
      <c r="M99" s="29" t="s">
        <v>36</v>
      </c>
      <c r="N99" s="29" t="s">
        <v>36</v>
      </c>
      <c r="O99" s="29" t="s">
        <v>36</v>
      </c>
      <c r="P99" s="79"/>
      <c r="Q99" s="79"/>
      <c r="R99" s="79"/>
      <c r="S99" s="79"/>
      <c r="T99" s="79"/>
      <c r="U99" s="79"/>
      <c r="V99" s="79"/>
      <c r="W99" s="79"/>
      <c r="X99" s="79"/>
      <c r="Y99" s="84"/>
      <c r="Z99" s="84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</row>
    <row r="100" spans="1:52" s="22" customFormat="1" ht="120" customHeight="1" x14ac:dyDescent="0.4">
      <c r="A100" s="78"/>
      <c r="B100" s="160" t="s">
        <v>57</v>
      </c>
      <c r="C100" s="70"/>
      <c r="D100" s="70"/>
      <c r="E100" s="70"/>
      <c r="F100" s="79" t="s">
        <v>33</v>
      </c>
      <c r="G100" s="80">
        <f t="shared" ref="G100:M100" si="28">G101+G102</f>
        <v>0</v>
      </c>
      <c r="H100" s="80">
        <f t="shared" si="28"/>
        <v>0</v>
      </c>
      <c r="I100" s="80">
        <f t="shared" si="28"/>
        <v>0</v>
      </c>
      <c r="J100" s="80">
        <f t="shared" si="28"/>
        <v>0</v>
      </c>
      <c r="K100" s="80">
        <f t="shared" si="28"/>
        <v>0</v>
      </c>
      <c r="L100" s="80">
        <f t="shared" si="28"/>
        <v>0</v>
      </c>
      <c r="M100" s="93">
        <f t="shared" si="28"/>
        <v>0</v>
      </c>
      <c r="N100" s="80">
        <v>0</v>
      </c>
      <c r="O100" s="80">
        <v>0</v>
      </c>
      <c r="P100" s="79"/>
      <c r="Q100" s="79"/>
      <c r="R100" s="79"/>
      <c r="S100" s="79"/>
      <c r="T100" s="79"/>
      <c r="U100" s="79"/>
      <c r="V100" s="79"/>
      <c r="W100" s="79"/>
      <c r="X100" s="79"/>
      <c r="Y100" s="84"/>
      <c r="Z100" s="84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</row>
    <row r="101" spans="1:52" s="22" customFormat="1" ht="222" customHeight="1" x14ac:dyDescent="0.4">
      <c r="A101" s="78"/>
      <c r="B101" s="143"/>
      <c r="C101" s="70"/>
      <c r="D101" s="70"/>
      <c r="E101" s="70"/>
      <c r="F101" s="79" t="s">
        <v>34</v>
      </c>
      <c r="G101" s="80">
        <f t="shared" ref="G101:G102" si="29">H101+I101+J101+K101+L101+M101+N101</f>
        <v>0</v>
      </c>
      <c r="H101" s="80">
        <f>I101+J101+K101+L101+M101+N101+P101</f>
        <v>0</v>
      </c>
      <c r="I101" s="80">
        <f>J101+K101+L101+M101+N101+P101+Q101</f>
        <v>0</v>
      </c>
      <c r="J101" s="80">
        <f>K101+L101+M101+N101+P101+Q101+R101</f>
        <v>0</v>
      </c>
      <c r="K101" s="80">
        <f>L101+M101+N101+P101+Q101+R101+S101</f>
        <v>0</v>
      </c>
      <c r="L101" s="80">
        <f>M101+N101+P101+Q101+R101+S101+T101</f>
        <v>0</v>
      </c>
      <c r="M101" s="93">
        <f>N101+P101+Q101+R101+S101+T101+U101</f>
        <v>0</v>
      </c>
      <c r="N101" s="80">
        <v>0</v>
      </c>
      <c r="O101" s="80">
        <v>0</v>
      </c>
      <c r="P101" s="79"/>
      <c r="Q101" s="79"/>
      <c r="R101" s="79"/>
      <c r="S101" s="79"/>
      <c r="T101" s="79"/>
      <c r="U101" s="79"/>
      <c r="V101" s="79"/>
      <c r="W101" s="79"/>
      <c r="X101" s="79"/>
      <c r="Y101" s="84"/>
      <c r="Z101" s="84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</row>
    <row r="102" spans="1:52" s="22" customFormat="1" ht="174" customHeight="1" x14ac:dyDescent="0.4">
      <c r="A102" s="78"/>
      <c r="B102" s="144"/>
      <c r="C102" s="70"/>
      <c r="D102" s="70"/>
      <c r="E102" s="70"/>
      <c r="F102" s="79" t="s">
        <v>35</v>
      </c>
      <c r="G102" s="80">
        <f t="shared" si="29"/>
        <v>0</v>
      </c>
      <c r="H102" s="80">
        <f>I102+J102+K102+L102+M102+N102+P102</f>
        <v>0</v>
      </c>
      <c r="I102" s="80">
        <f>J102+K102+L102+M102+N102+P102+Q102</f>
        <v>0</v>
      </c>
      <c r="J102" s="80">
        <f>K102+L102+M102+N102+P102+Q102+R102</f>
        <v>0</v>
      </c>
      <c r="K102" s="80">
        <f>L102+M102+N102+P102+Q102+R102+S102</f>
        <v>0</v>
      </c>
      <c r="L102" s="80">
        <f>M102+N102+P102+Q102+R102+S102+T102</f>
        <v>0</v>
      </c>
      <c r="M102" s="93">
        <f>N102+P102+Q102+R102+S102+T102+U102</f>
        <v>0</v>
      </c>
      <c r="N102" s="80">
        <f>P102+Q102+R102+S102+T102+U102+V102</f>
        <v>0</v>
      </c>
      <c r="O102" s="80">
        <f>Q102+R102+S102+T102+U102+V102+W102</f>
        <v>0</v>
      </c>
      <c r="P102" s="79"/>
      <c r="Q102" s="79"/>
      <c r="R102" s="79"/>
      <c r="S102" s="79"/>
      <c r="T102" s="79"/>
      <c r="U102" s="79"/>
      <c r="V102" s="79"/>
      <c r="W102" s="79"/>
      <c r="X102" s="79"/>
      <c r="Y102" s="84"/>
      <c r="Z102" s="84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</row>
    <row r="103" spans="1:52" s="22" customFormat="1" ht="168.75" customHeight="1" x14ac:dyDescent="0.4">
      <c r="A103" s="78"/>
      <c r="B103" s="160" t="s">
        <v>90</v>
      </c>
      <c r="C103" s="70"/>
      <c r="D103" s="70"/>
      <c r="E103" s="70"/>
      <c r="F103" s="79" t="s">
        <v>33</v>
      </c>
      <c r="G103" s="80">
        <f t="shared" ref="G103:M103" si="30">G104+G105</f>
        <v>2148353.3499999996</v>
      </c>
      <c r="H103" s="80">
        <f t="shared" si="30"/>
        <v>1842230.9</v>
      </c>
      <c r="I103" s="80">
        <f t="shared" si="30"/>
        <v>306122.45</v>
      </c>
      <c r="J103" s="80">
        <f t="shared" si="30"/>
        <v>0</v>
      </c>
      <c r="K103" s="80">
        <f t="shared" si="30"/>
        <v>0</v>
      </c>
      <c r="L103" s="80">
        <f t="shared" si="30"/>
        <v>0</v>
      </c>
      <c r="M103" s="93">
        <f t="shared" si="30"/>
        <v>0</v>
      </c>
      <c r="N103" s="80">
        <v>0</v>
      </c>
      <c r="O103" s="80">
        <v>0</v>
      </c>
      <c r="P103" s="79"/>
      <c r="Q103" s="79"/>
      <c r="R103" s="79"/>
      <c r="S103" s="79"/>
      <c r="T103" s="79"/>
      <c r="U103" s="79"/>
      <c r="V103" s="79"/>
      <c r="W103" s="79"/>
      <c r="X103" s="79"/>
      <c r="Y103" s="84"/>
      <c r="Z103" s="84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</row>
    <row r="104" spans="1:52" s="22" customFormat="1" ht="222" customHeight="1" x14ac:dyDescent="0.4">
      <c r="A104" s="78"/>
      <c r="B104" s="143"/>
      <c r="C104" s="70"/>
      <c r="D104" s="70"/>
      <c r="E104" s="70"/>
      <c r="F104" s="79" t="s">
        <v>34</v>
      </c>
      <c r="G104" s="80">
        <f>H104+I104+J104+K104+L104+M104+N104</f>
        <v>1248353.3499999999</v>
      </c>
      <c r="H104" s="80">
        <f>1229986+12244.9</f>
        <v>1242230.8999999999</v>
      </c>
      <c r="I104" s="80">
        <v>6122.45</v>
      </c>
      <c r="J104" s="80">
        <v>0</v>
      </c>
      <c r="K104" s="80">
        <v>0</v>
      </c>
      <c r="L104" s="80">
        <v>0</v>
      </c>
      <c r="M104" s="93">
        <v>0</v>
      </c>
      <c r="N104" s="80">
        <v>0</v>
      </c>
      <c r="O104" s="80">
        <v>0</v>
      </c>
      <c r="P104" s="79"/>
      <c r="Q104" s="79"/>
      <c r="R104" s="79"/>
      <c r="S104" s="79"/>
      <c r="T104" s="79"/>
      <c r="U104" s="79"/>
      <c r="V104" s="79"/>
      <c r="W104" s="79"/>
      <c r="X104" s="79"/>
      <c r="Y104" s="84"/>
      <c r="Z104" s="84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</row>
    <row r="105" spans="1:52" s="22" customFormat="1" ht="174" customHeight="1" x14ac:dyDescent="0.4">
      <c r="A105" s="78"/>
      <c r="B105" s="144"/>
      <c r="C105" s="70"/>
      <c r="D105" s="70"/>
      <c r="E105" s="70"/>
      <c r="F105" s="79" t="s">
        <v>35</v>
      </c>
      <c r="G105" s="80">
        <f>H105+I105+J105+K105+L105+M105+N105</f>
        <v>900000</v>
      </c>
      <c r="H105" s="80">
        <v>600000</v>
      </c>
      <c r="I105" s="80">
        <v>300000</v>
      </c>
      <c r="J105" s="80">
        <v>0</v>
      </c>
      <c r="K105" s="80">
        <v>0</v>
      </c>
      <c r="L105" s="80">
        <v>0</v>
      </c>
      <c r="M105" s="93">
        <v>0</v>
      </c>
      <c r="N105" s="80">
        <v>0</v>
      </c>
      <c r="O105" s="80">
        <v>0</v>
      </c>
      <c r="P105" s="79"/>
      <c r="Q105" s="79"/>
      <c r="R105" s="79"/>
      <c r="S105" s="79"/>
      <c r="T105" s="79"/>
      <c r="U105" s="79"/>
      <c r="V105" s="79"/>
      <c r="W105" s="79"/>
      <c r="X105" s="79"/>
      <c r="Y105" s="84"/>
      <c r="Z105" s="84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</row>
    <row r="106" spans="1:52" s="22" customFormat="1" ht="134.25" customHeight="1" x14ac:dyDescent="0.4">
      <c r="A106" s="135"/>
      <c r="B106" s="161" t="s">
        <v>104</v>
      </c>
      <c r="C106" s="70"/>
      <c r="D106" s="70"/>
      <c r="E106" s="70"/>
      <c r="F106" s="79" t="s">
        <v>33</v>
      </c>
      <c r="G106" s="80">
        <f t="shared" ref="G106:M106" si="31">G107+G108</f>
        <v>4680146.21</v>
      </c>
      <c r="H106" s="80">
        <f t="shared" si="31"/>
        <v>0</v>
      </c>
      <c r="I106" s="80">
        <f t="shared" si="31"/>
        <v>0</v>
      </c>
      <c r="J106" s="80">
        <f t="shared" si="31"/>
        <v>1020410</v>
      </c>
      <c r="K106" s="80">
        <f t="shared" si="31"/>
        <v>1530612.24</v>
      </c>
      <c r="L106" s="80">
        <f t="shared" si="31"/>
        <v>1530612.24</v>
      </c>
      <c r="M106" s="93">
        <f t="shared" si="31"/>
        <v>598511.73</v>
      </c>
      <c r="N106" s="80">
        <v>0</v>
      </c>
      <c r="O106" s="80">
        <v>0</v>
      </c>
      <c r="P106" s="104" t="s">
        <v>110</v>
      </c>
      <c r="Q106" s="104" t="s">
        <v>111</v>
      </c>
      <c r="R106" s="104"/>
      <c r="S106" s="104" t="s">
        <v>11</v>
      </c>
      <c r="T106" s="104" t="s">
        <v>11</v>
      </c>
      <c r="U106" s="104">
        <v>6843</v>
      </c>
      <c r="V106" s="104">
        <v>6861</v>
      </c>
      <c r="W106" s="104">
        <v>6861</v>
      </c>
      <c r="X106" s="104">
        <v>6861</v>
      </c>
      <c r="Y106" s="104">
        <v>6861</v>
      </c>
      <c r="Z106" s="104">
        <v>6861</v>
      </c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</row>
    <row r="107" spans="1:52" s="22" customFormat="1" ht="255" customHeight="1" x14ac:dyDescent="0.4">
      <c r="A107" s="136"/>
      <c r="B107" s="162"/>
      <c r="C107" s="70"/>
      <c r="D107" s="70"/>
      <c r="E107" s="70"/>
      <c r="F107" s="79" t="s">
        <v>34</v>
      </c>
      <c r="G107" s="80">
        <f>H107+I107+J107+K107+L107+M107+N107</f>
        <v>93604.71</v>
      </c>
      <c r="H107" s="80">
        <v>0</v>
      </c>
      <c r="I107" s="80">
        <v>0</v>
      </c>
      <c r="J107" s="80">
        <v>20410</v>
      </c>
      <c r="K107" s="80">
        <v>30612.240000000002</v>
      </c>
      <c r="L107" s="80">
        <v>30612.240000000002</v>
      </c>
      <c r="M107" s="93">
        <v>11970.23</v>
      </c>
      <c r="N107" s="80">
        <v>0</v>
      </c>
      <c r="O107" s="80">
        <v>0</v>
      </c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</row>
    <row r="108" spans="1:52" s="22" customFormat="1" ht="160.5" customHeight="1" x14ac:dyDescent="0.4">
      <c r="A108" s="137"/>
      <c r="B108" s="163"/>
      <c r="C108" s="70"/>
      <c r="D108" s="70"/>
      <c r="E108" s="56"/>
      <c r="F108" s="19" t="s">
        <v>35</v>
      </c>
      <c r="G108" s="39">
        <f>H108+I108+J108+K108+L108+M108+N108</f>
        <v>4586541.5</v>
      </c>
      <c r="H108" s="39">
        <v>0</v>
      </c>
      <c r="I108" s="39">
        <v>0</v>
      </c>
      <c r="J108" s="39">
        <v>1000000</v>
      </c>
      <c r="K108" s="39">
        <v>1500000</v>
      </c>
      <c r="L108" s="39">
        <v>1500000</v>
      </c>
      <c r="M108" s="39">
        <v>586541.5</v>
      </c>
      <c r="N108" s="39">
        <v>0</v>
      </c>
      <c r="O108" s="39">
        <v>0</v>
      </c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</row>
    <row r="109" spans="1:52" s="22" customFormat="1" ht="104.25" customHeight="1" x14ac:dyDescent="0.4">
      <c r="A109" s="135"/>
      <c r="B109" s="160" t="s">
        <v>105</v>
      </c>
      <c r="C109" s="70"/>
      <c r="D109" s="70"/>
      <c r="E109" s="70"/>
      <c r="F109" s="79" t="s">
        <v>33</v>
      </c>
      <c r="G109" s="80">
        <f t="shared" ref="G109:M109" si="32">G110+G111</f>
        <v>730612.53</v>
      </c>
      <c r="H109" s="80">
        <f t="shared" si="32"/>
        <v>0</v>
      </c>
      <c r="I109" s="80">
        <f t="shared" si="32"/>
        <v>0</v>
      </c>
      <c r="J109" s="80">
        <f t="shared" si="32"/>
        <v>714286</v>
      </c>
      <c r="K109" s="80">
        <f t="shared" si="32"/>
        <v>0</v>
      </c>
      <c r="L109" s="80">
        <f t="shared" si="32"/>
        <v>0</v>
      </c>
      <c r="M109" s="93">
        <f t="shared" si="32"/>
        <v>16326.53</v>
      </c>
      <c r="N109" s="80">
        <v>0</v>
      </c>
      <c r="O109" s="80">
        <v>0</v>
      </c>
      <c r="P109" s="104" t="s">
        <v>129</v>
      </c>
      <c r="Q109" s="104" t="s">
        <v>24</v>
      </c>
      <c r="R109" s="104"/>
      <c r="S109" s="104" t="s">
        <v>11</v>
      </c>
      <c r="T109" s="104" t="s">
        <v>11</v>
      </c>
      <c r="U109" s="104">
        <v>1</v>
      </c>
      <c r="V109" s="104" t="s">
        <v>11</v>
      </c>
      <c r="W109" s="104" t="s">
        <v>11</v>
      </c>
      <c r="X109" s="104">
        <v>1</v>
      </c>
      <c r="Y109" s="104" t="s">
        <v>11</v>
      </c>
      <c r="Z109" s="164" t="s">
        <v>11</v>
      </c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</row>
    <row r="110" spans="1:52" s="22" customFormat="1" ht="225.75" customHeight="1" x14ac:dyDescent="0.4">
      <c r="A110" s="136"/>
      <c r="B110" s="143"/>
      <c r="C110" s="70"/>
      <c r="D110" s="70"/>
      <c r="E110" s="70"/>
      <c r="F110" s="79" t="s">
        <v>34</v>
      </c>
      <c r="G110" s="80">
        <f>H110+I110+J110+K110+L110+M110+N110</f>
        <v>30612.53</v>
      </c>
      <c r="H110" s="80">
        <v>0</v>
      </c>
      <c r="I110" s="80">
        <v>0</v>
      </c>
      <c r="J110" s="80">
        <v>14286</v>
      </c>
      <c r="K110" s="80">
        <v>0</v>
      </c>
      <c r="L110" s="80">
        <v>0</v>
      </c>
      <c r="M110" s="93">
        <v>16326.53</v>
      </c>
      <c r="N110" s="80">
        <v>0</v>
      </c>
      <c r="O110" s="80">
        <v>0</v>
      </c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65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</row>
    <row r="111" spans="1:52" s="22" customFormat="1" ht="143.25" customHeight="1" x14ac:dyDescent="0.4">
      <c r="A111" s="137"/>
      <c r="B111" s="144"/>
      <c r="C111" s="70"/>
      <c r="D111" s="70"/>
      <c r="E111" s="56"/>
      <c r="F111" s="19" t="s">
        <v>35</v>
      </c>
      <c r="G111" s="39">
        <f>H111+I111+J111+K111+L111+M111+N111</f>
        <v>700000</v>
      </c>
      <c r="H111" s="39">
        <v>0</v>
      </c>
      <c r="I111" s="39">
        <v>0</v>
      </c>
      <c r="J111" s="39">
        <v>700000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66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</row>
    <row r="112" spans="1:52" s="22" customFormat="1" ht="104.25" customHeight="1" x14ac:dyDescent="0.4">
      <c r="A112" s="135"/>
      <c r="B112" s="160" t="s">
        <v>107</v>
      </c>
      <c r="C112" s="70"/>
      <c r="D112" s="70"/>
      <c r="E112" s="70"/>
      <c r="F112" s="79" t="s">
        <v>33</v>
      </c>
      <c r="G112" s="80">
        <f t="shared" ref="G112:M112" si="33">G113+G114</f>
        <v>1463233.36</v>
      </c>
      <c r="H112" s="80">
        <f t="shared" si="33"/>
        <v>0</v>
      </c>
      <c r="I112" s="80">
        <f t="shared" si="33"/>
        <v>0</v>
      </c>
      <c r="J112" s="80">
        <f t="shared" si="33"/>
        <v>0</v>
      </c>
      <c r="K112" s="80">
        <f t="shared" si="33"/>
        <v>1463233.36</v>
      </c>
      <c r="L112" s="80">
        <f t="shared" si="33"/>
        <v>0</v>
      </c>
      <c r="M112" s="93">
        <f t="shared" si="33"/>
        <v>0</v>
      </c>
      <c r="N112" s="80">
        <v>0</v>
      </c>
      <c r="O112" s="80">
        <v>0</v>
      </c>
      <c r="P112" s="79"/>
      <c r="Q112" s="79"/>
      <c r="R112" s="79"/>
      <c r="S112" s="79"/>
      <c r="T112" s="79"/>
      <c r="U112" s="79"/>
      <c r="V112" s="79"/>
      <c r="W112" s="79"/>
      <c r="X112" s="79"/>
      <c r="Y112" s="84"/>
      <c r="Z112" s="84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</row>
    <row r="113" spans="1:52" s="22" customFormat="1" ht="225.75" customHeight="1" x14ac:dyDescent="0.4">
      <c r="A113" s="136"/>
      <c r="B113" s="143"/>
      <c r="C113" s="70"/>
      <c r="D113" s="70"/>
      <c r="E113" s="70"/>
      <c r="F113" s="79" t="s">
        <v>34</v>
      </c>
      <c r="G113" s="80">
        <f>H113+I113+J113+K113+L113+M113+N113</f>
        <v>1463233.36</v>
      </c>
      <c r="H113" s="80">
        <v>0</v>
      </c>
      <c r="I113" s="80">
        <v>0</v>
      </c>
      <c r="J113" s="80">
        <v>0</v>
      </c>
      <c r="K113" s="80">
        <f>600000+300000-600000+1041771.66+292400-5657-165281.3</f>
        <v>1463233.36</v>
      </c>
      <c r="L113" s="80">
        <v>0</v>
      </c>
      <c r="M113" s="93">
        <v>0</v>
      </c>
      <c r="N113" s="80">
        <v>0</v>
      </c>
      <c r="O113" s="80">
        <v>0</v>
      </c>
      <c r="P113" s="79"/>
      <c r="Q113" s="79"/>
      <c r="R113" s="79"/>
      <c r="S113" s="79"/>
      <c r="T113" s="79"/>
      <c r="U113" s="79"/>
      <c r="V113" s="79"/>
      <c r="W113" s="79"/>
      <c r="X113" s="79"/>
      <c r="Y113" s="84"/>
      <c r="Z113" s="84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</row>
    <row r="114" spans="1:52" s="22" customFormat="1" ht="143.25" customHeight="1" x14ac:dyDescent="0.4">
      <c r="A114" s="137"/>
      <c r="B114" s="144"/>
      <c r="C114" s="70"/>
      <c r="D114" s="70"/>
      <c r="E114" s="56"/>
      <c r="F114" s="19" t="s">
        <v>35</v>
      </c>
      <c r="G114" s="39">
        <f>H114+I114+J114+K114+L114+M114+N114</f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79"/>
      <c r="Q114" s="79"/>
      <c r="R114" s="79"/>
      <c r="S114" s="79"/>
      <c r="T114" s="79"/>
      <c r="U114" s="79"/>
      <c r="V114" s="79"/>
      <c r="W114" s="79"/>
      <c r="X114" s="79"/>
      <c r="Y114" s="84"/>
      <c r="Z114" s="84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</row>
    <row r="115" spans="1:52" s="22" customFormat="1" ht="143.25" customHeight="1" x14ac:dyDescent="0.4">
      <c r="A115" s="135"/>
      <c r="B115" s="160" t="s">
        <v>130</v>
      </c>
      <c r="C115" s="70"/>
      <c r="D115" s="70"/>
      <c r="E115" s="70"/>
      <c r="F115" s="79" t="s">
        <v>33</v>
      </c>
      <c r="G115" s="80">
        <f t="shared" ref="G115:M115" si="34">G116+G117</f>
        <v>5594756.2000000002</v>
      </c>
      <c r="H115" s="80">
        <f t="shared" si="34"/>
        <v>0</v>
      </c>
      <c r="I115" s="80">
        <f t="shared" si="34"/>
        <v>0</v>
      </c>
      <c r="J115" s="80">
        <f t="shared" si="34"/>
        <v>0</v>
      </c>
      <c r="K115" s="80">
        <f t="shared" si="34"/>
        <v>0</v>
      </c>
      <c r="L115" s="80">
        <f t="shared" si="34"/>
        <v>5594756.2000000002</v>
      </c>
      <c r="M115" s="93">
        <f t="shared" si="34"/>
        <v>0</v>
      </c>
      <c r="N115" s="80">
        <v>0</v>
      </c>
      <c r="O115" s="80">
        <v>0</v>
      </c>
      <c r="P115" s="79"/>
      <c r="Q115" s="79"/>
      <c r="R115" s="79"/>
      <c r="S115" s="79"/>
      <c r="T115" s="79"/>
      <c r="U115" s="79"/>
      <c r="V115" s="79"/>
      <c r="W115" s="79"/>
      <c r="X115" s="79"/>
      <c r="Y115" s="84"/>
      <c r="Z115" s="84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</row>
    <row r="116" spans="1:52" s="22" customFormat="1" ht="143.25" customHeight="1" x14ac:dyDescent="0.4">
      <c r="A116" s="136"/>
      <c r="B116" s="143"/>
      <c r="C116" s="70"/>
      <c r="D116" s="70"/>
      <c r="E116" s="70"/>
      <c r="F116" s="79" t="s">
        <v>34</v>
      </c>
      <c r="G116" s="80">
        <f>H116+I116+J116+K116+L116+M116+N116</f>
        <v>5594756.2000000002</v>
      </c>
      <c r="H116" s="80">
        <v>0</v>
      </c>
      <c r="I116" s="80">
        <v>0</v>
      </c>
      <c r="J116" s="80">
        <v>0</v>
      </c>
      <c r="K116" s="80">
        <v>0</v>
      </c>
      <c r="L116" s="80">
        <f>500000+500000-290862.92+5700000+1091318+67400-50000-326984-50000-1546114.88</f>
        <v>5594756.2000000002</v>
      </c>
      <c r="M116" s="93">
        <v>0</v>
      </c>
      <c r="N116" s="80">
        <v>0</v>
      </c>
      <c r="O116" s="80">
        <v>0</v>
      </c>
      <c r="P116" s="79"/>
      <c r="Q116" s="79"/>
      <c r="R116" s="79"/>
      <c r="S116" s="79"/>
      <c r="T116" s="79"/>
      <c r="U116" s="79"/>
      <c r="V116" s="79"/>
      <c r="W116" s="79"/>
      <c r="X116" s="79"/>
      <c r="Y116" s="84"/>
      <c r="Z116" s="84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</row>
    <row r="117" spans="1:52" s="22" customFormat="1" ht="143.25" customHeight="1" x14ac:dyDescent="0.4">
      <c r="A117" s="137"/>
      <c r="B117" s="144"/>
      <c r="C117" s="70"/>
      <c r="D117" s="70"/>
      <c r="E117" s="56"/>
      <c r="F117" s="19" t="s">
        <v>35</v>
      </c>
      <c r="G117" s="39">
        <f>H117+I117+J117+K117+L117+M117+N117</f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79"/>
      <c r="Q117" s="79"/>
      <c r="R117" s="79"/>
      <c r="S117" s="79"/>
      <c r="T117" s="79"/>
      <c r="U117" s="79"/>
      <c r="V117" s="79"/>
      <c r="W117" s="79"/>
      <c r="X117" s="79"/>
      <c r="Y117" s="84"/>
      <c r="Z117" s="84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</row>
    <row r="118" spans="1:52" s="22" customFormat="1" ht="143.25" customHeight="1" x14ac:dyDescent="0.4">
      <c r="A118" s="135"/>
      <c r="B118" s="160" t="s">
        <v>138</v>
      </c>
      <c r="C118" s="70"/>
      <c r="D118" s="70"/>
      <c r="E118" s="70"/>
      <c r="F118" s="79" t="s">
        <v>33</v>
      </c>
      <c r="G118" s="80">
        <f t="shared" ref="G118:M118" si="35">G119+G120</f>
        <v>213587</v>
      </c>
      <c r="H118" s="80">
        <f t="shared" si="35"/>
        <v>0</v>
      </c>
      <c r="I118" s="80">
        <f t="shared" si="35"/>
        <v>0</v>
      </c>
      <c r="J118" s="80">
        <f t="shared" si="35"/>
        <v>0</v>
      </c>
      <c r="K118" s="80">
        <f t="shared" si="35"/>
        <v>0</v>
      </c>
      <c r="L118" s="80">
        <f t="shared" si="35"/>
        <v>213587</v>
      </c>
      <c r="M118" s="93">
        <f t="shared" si="35"/>
        <v>0</v>
      </c>
      <c r="N118" s="80">
        <v>0</v>
      </c>
      <c r="O118" s="80">
        <v>0</v>
      </c>
      <c r="P118" s="79"/>
      <c r="Q118" s="79"/>
      <c r="R118" s="79"/>
      <c r="S118" s="79"/>
      <c r="T118" s="79"/>
      <c r="U118" s="79"/>
      <c r="V118" s="79"/>
      <c r="W118" s="79"/>
      <c r="X118" s="79"/>
      <c r="Y118" s="84"/>
      <c r="Z118" s="84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</row>
    <row r="119" spans="1:52" s="22" customFormat="1" ht="143.25" customHeight="1" x14ac:dyDescent="0.4">
      <c r="A119" s="136"/>
      <c r="B119" s="143"/>
      <c r="C119" s="70"/>
      <c r="D119" s="70"/>
      <c r="E119" s="70"/>
      <c r="F119" s="79" t="s">
        <v>34</v>
      </c>
      <c r="G119" s="80">
        <f>H119+I119+J119+K119+L119+M119+N119</f>
        <v>0</v>
      </c>
      <c r="H119" s="80">
        <v>0</v>
      </c>
      <c r="I119" s="80">
        <v>0</v>
      </c>
      <c r="J119" s="80">
        <v>0</v>
      </c>
      <c r="K119" s="80">
        <v>0</v>
      </c>
      <c r="L119" s="80">
        <v>0</v>
      </c>
      <c r="M119" s="93">
        <v>0</v>
      </c>
      <c r="N119" s="80">
        <v>0</v>
      </c>
      <c r="O119" s="80">
        <v>0</v>
      </c>
      <c r="P119" s="79"/>
      <c r="Q119" s="79"/>
      <c r="R119" s="79"/>
      <c r="S119" s="79"/>
      <c r="T119" s="79"/>
      <c r="U119" s="79"/>
      <c r="V119" s="79"/>
      <c r="W119" s="79"/>
      <c r="X119" s="79"/>
      <c r="Y119" s="84"/>
      <c r="Z119" s="84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</row>
    <row r="120" spans="1:52" s="22" customFormat="1" ht="143.25" customHeight="1" x14ac:dyDescent="0.4">
      <c r="A120" s="137"/>
      <c r="B120" s="144"/>
      <c r="C120" s="70"/>
      <c r="D120" s="70"/>
      <c r="E120" s="56"/>
      <c r="F120" s="19" t="s">
        <v>35</v>
      </c>
      <c r="G120" s="39">
        <f>H120+I120+J120+K120+L120+M120+N120</f>
        <v>213587</v>
      </c>
      <c r="H120" s="39">
        <v>0</v>
      </c>
      <c r="I120" s="39">
        <v>0</v>
      </c>
      <c r="J120" s="39">
        <v>0</v>
      </c>
      <c r="K120" s="39">
        <v>0</v>
      </c>
      <c r="L120" s="39">
        <f>330000-116413</f>
        <v>213587</v>
      </c>
      <c r="M120" s="39">
        <v>0</v>
      </c>
      <c r="N120" s="39">
        <v>0</v>
      </c>
      <c r="O120" s="39">
        <v>0</v>
      </c>
      <c r="P120" s="79"/>
      <c r="Q120" s="79"/>
      <c r="R120" s="79"/>
      <c r="S120" s="79"/>
      <c r="T120" s="79"/>
      <c r="U120" s="79"/>
      <c r="V120" s="79"/>
      <c r="W120" s="79"/>
      <c r="X120" s="79"/>
      <c r="Y120" s="84"/>
      <c r="Z120" s="84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</row>
    <row r="121" spans="1:52" s="22" customFormat="1" ht="283.5" customHeight="1" x14ac:dyDescent="0.4">
      <c r="A121" s="78"/>
      <c r="B121" s="79" t="s">
        <v>140</v>
      </c>
      <c r="C121" s="78">
        <v>2019</v>
      </c>
      <c r="D121" s="78">
        <v>2026</v>
      </c>
      <c r="E121" s="78"/>
      <c r="F121" s="16" t="s">
        <v>3</v>
      </c>
      <c r="G121" s="33" t="s">
        <v>3</v>
      </c>
      <c r="H121" s="33" t="s">
        <v>3</v>
      </c>
      <c r="I121" s="33" t="s">
        <v>3</v>
      </c>
      <c r="J121" s="33" t="s">
        <v>3</v>
      </c>
      <c r="K121" s="33" t="s">
        <v>3</v>
      </c>
      <c r="L121" s="33" t="s">
        <v>3</v>
      </c>
      <c r="M121" s="33" t="s">
        <v>3</v>
      </c>
      <c r="N121" s="33" t="s">
        <v>3</v>
      </c>
      <c r="O121" s="33" t="s">
        <v>3</v>
      </c>
      <c r="P121" s="79" t="s">
        <v>32</v>
      </c>
      <c r="Q121" s="79" t="s">
        <v>32</v>
      </c>
      <c r="R121" s="79" t="s">
        <v>32</v>
      </c>
      <c r="S121" s="79" t="s">
        <v>32</v>
      </c>
      <c r="T121" s="79" t="s">
        <v>32</v>
      </c>
      <c r="U121" s="79" t="s">
        <v>32</v>
      </c>
      <c r="V121" s="79" t="s">
        <v>32</v>
      </c>
      <c r="W121" s="79" t="s">
        <v>32</v>
      </c>
      <c r="X121" s="79" t="s">
        <v>32</v>
      </c>
      <c r="Y121" s="84" t="s">
        <v>32</v>
      </c>
      <c r="Z121" s="84" t="s">
        <v>32</v>
      </c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</row>
    <row r="122" spans="1:52" s="35" customFormat="1" ht="111" customHeight="1" x14ac:dyDescent="0.4">
      <c r="A122" s="118"/>
      <c r="B122" s="145" t="s">
        <v>88</v>
      </c>
      <c r="C122" s="135"/>
      <c r="D122" s="135"/>
      <c r="E122" s="104" t="s">
        <v>37</v>
      </c>
      <c r="F122" s="79" t="s">
        <v>33</v>
      </c>
      <c r="G122" s="34">
        <f t="shared" ref="G122:O122" si="36">G123+G124</f>
        <v>21756743.469999999</v>
      </c>
      <c r="H122" s="34">
        <f t="shared" si="36"/>
        <v>2675786.77</v>
      </c>
      <c r="I122" s="34">
        <f t="shared" si="36"/>
        <v>2700097.16</v>
      </c>
      <c r="J122" s="34">
        <f t="shared" si="36"/>
        <v>3230753.1</v>
      </c>
      <c r="K122" s="34">
        <f t="shared" si="36"/>
        <v>3292891.35</v>
      </c>
      <c r="L122" s="34">
        <f t="shared" si="36"/>
        <v>4143872.09</v>
      </c>
      <c r="M122" s="34">
        <f>M123+M124</f>
        <v>3338495</v>
      </c>
      <c r="N122" s="34">
        <f t="shared" si="36"/>
        <v>2374848</v>
      </c>
      <c r="O122" s="34">
        <f t="shared" si="36"/>
        <v>2374848</v>
      </c>
      <c r="P122" s="104" t="s">
        <v>63</v>
      </c>
      <c r="Q122" s="104" t="s">
        <v>61</v>
      </c>
      <c r="R122" s="104"/>
      <c r="S122" s="104">
        <v>0.1</v>
      </c>
      <c r="T122" s="104">
        <v>0.1</v>
      </c>
      <c r="U122" s="104">
        <v>0.1</v>
      </c>
      <c r="V122" s="104">
        <v>0.1</v>
      </c>
      <c r="W122" s="104">
        <v>0.1</v>
      </c>
      <c r="X122" s="104">
        <v>0.1</v>
      </c>
      <c r="Y122" s="133">
        <v>0.1</v>
      </c>
      <c r="Z122" s="133">
        <v>0.1</v>
      </c>
    </row>
    <row r="123" spans="1:52" s="22" customFormat="1" ht="232.5" customHeight="1" x14ac:dyDescent="0.4">
      <c r="A123" s="118"/>
      <c r="B123" s="146"/>
      <c r="C123" s="136"/>
      <c r="D123" s="136"/>
      <c r="E123" s="105"/>
      <c r="F123" s="71" t="s">
        <v>34</v>
      </c>
      <c r="G123" s="36">
        <f>SUM(H123:N123)</f>
        <v>15697155.4</v>
      </c>
      <c r="H123" s="36">
        <f t="shared" ref="H123:O123" si="37">H126+H129+H132+H135+H141+H147+H150</f>
        <v>2095573.87</v>
      </c>
      <c r="I123" s="36">
        <f t="shared" si="37"/>
        <v>2147184.94</v>
      </c>
      <c r="J123" s="36">
        <f t="shared" si="37"/>
        <v>2529198</v>
      </c>
      <c r="K123" s="36">
        <f t="shared" si="37"/>
        <v>2260966.85</v>
      </c>
      <c r="L123" s="36">
        <f t="shared" si="37"/>
        <v>2305888.7399999998</v>
      </c>
      <c r="M123" s="36">
        <f t="shared" si="37"/>
        <v>1983495</v>
      </c>
      <c r="N123" s="36">
        <f t="shared" si="37"/>
        <v>2374848</v>
      </c>
      <c r="O123" s="36">
        <f t="shared" si="37"/>
        <v>2374848</v>
      </c>
      <c r="P123" s="105"/>
      <c r="Q123" s="105"/>
      <c r="R123" s="105"/>
      <c r="S123" s="105"/>
      <c r="T123" s="105"/>
      <c r="U123" s="105"/>
      <c r="V123" s="105"/>
      <c r="W123" s="105"/>
      <c r="X123" s="105"/>
      <c r="Y123" s="134"/>
      <c r="Z123" s="134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</row>
    <row r="124" spans="1:52" s="35" customFormat="1" ht="195" customHeight="1" x14ac:dyDescent="0.4">
      <c r="A124" s="118"/>
      <c r="B124" s="147"/>
      <c r="C124" s="137"/>
      <c r="D124" s="137"/>
      <c r="E124" s="106"/>
      <c r="F124" s="37" t="s">
        <v>35</v>
      </c>
      <c r="G124" s="36">
        <f>SUM(H124:N124)</f>
        <v>6059588.0700000003</v>
      </c>
      <c r="H124" s="38">
        <f>H127+H130+H133+H136+H142+H148+H151</f>
        <v>580212.9</v>
      </c>
      <c r="I124" s="39">
        <f>I127+I130+I133+I136+I142+I148+I151</f>
        <v>552912.22</v>
      </c>
      <c r="J124" s="39">
        <f>J127+J130+J133+J136+J142+J148+J151</f>
        <v>701555.1</v>
      </c>
      <c r="K124" s="39">
        <f>K127+K130+K133+K136+K142+K148+K151</f>
        <v>1031924.5</v>
      </c>
      <c r="L124" s="39">
        <f>L127+L130+L133+L136+L142+L151</f>
        <v>1837983.3499999999</v>
      </c>
      <c r="M124" s="39">
        <f>M127+M130+M133+M136+M142+M148+M151</f>
        <v>1355000</v>
      </c>
      <c r="N124" s="39">
        <f>N127+N130+N133+N136+N142</f>
        <v>0</v>
      </c>
      <c r="O124" s="39">
        <f>O127+O130+O133+O136+O142</f>
        <v>0</v>
      </c>
      <c r="P124" s="106"/>
      <c r="Q124" s="106"/>
      <c r="R124" s="106"/>
      <c r="S124" s="106"/>
      <c r="T124" s="106"/>
      <c r="U124" s="106"/>
      <c r="V124" s="106"/>
      <c r="W124" s="106"/>
      <c r="X124" s="106"/>
      <c r="Y124" s="120"/>
      <c r="Z124" s="120"/>
    </row>
    <row r="125" spans="1:52" s="22" customFormat="1" ht="151.5" customHeight="1" x14ac:dyDescent="0.4">
      <c r="A125" s="135"/>
      <c r="B125" s="104" t="s">
        <v>38</v>
      </c>
      <c r="C125" s="135"/>
      <c r="D125" s="135"/>
      <c r="E125" s="135"/>
      <c r="F125" s="77" t="s">
        <v>33</v>
      </c>
      <c r="G125" s="40">
        <f t="shared" ref="G125:O125" si="38">G126+G127</f>
        <v>67950.5</v>
      </c>
      <c r="H125" s="41">
        <f t="shared" si="38"/>
        <v>22400.5</v>
      </c>
      <c r="I125" s="81">
        <f t="shared" si="38"/>
        <v>0</v>
      </c>
      <c r="J125" s="81">
        <f t="shared" si="38"/>
        <v>5550</v>
      </c>
      <c r="K125" s="81">
        <f t="shared" si="38"/>
        <v>20000</v>
      </c>
      <c r="L125" s="81">
        <f t="shared" si="38"/>
        <v>20000</v>
      </c>
      <c r="M125" s="94">
        <f t="shared" si="38"/>
        <v>0</v>
      </c>
      <c r="N125" s="81">
        <f t="shared" si="38"/>
        <v>0</v>
      </c>
      <c r="O125" s="81">
        <f t="shared" si="38"/>
        <v>0</v>
      </c>
      <c r="P125" s="104" t="s">
        <v>2</v>
      </c>
      <c r="Q125" s="104" t="s">
        <v>3</v>
      </c>
      <c r="R125" s="104" t="s">
        <v>9</v>
      </c>
      <c r="S125" s="104" t="s">
        <v>3</v>
      </c>
      <c r="T125" s="104" t="s">
        <v>5</v>
      </c>
      <c r="U125" s="104" t="s">
        <v>2</v>
      </c>
      <c r="V125" s="104" t="s">
        <v>10</v>
      </c>
      <c r="W125" s="104" t="s">
        <v>3</v>
      </c>
      <c r="X125" s="104" t="s">
        <v>5</v>
      </c>
      <c r="Y125" s="133" t="s">
        <v>2</v>
      </c>
      <c r="Z125" s="133" t="s">
        <v>2</v>
      </c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</row>
    <row r="126" spans="1:52" s="22" customFormat="1" ht="240.75" customHeight="1" x14ac:dyDescent="0.4">
      <c r="A126" s="136"/>
      <c r="B126" s="105"/>
      <c r="C126" s="136"/>
      <c r="D126" s="136"/>
      <c r="E126" s="136"/>
      <c r="F126" s="79" t="s">
        <v>34</v>
      </c>
      <c r="G126" s="81">
        <f>H126+I126+J126+K126+L126+M126+N126</f>
        <v>67950.5</v>
      </c>
      <c r="H126" s="30">
        <v>22400.5</v>
      </c>
      <c r="I126" s="29">
        <v>0</v>
      </c>
      <c r="J126" s="29">
        <f>9500-3000-950</f>
        <v>5550</v>
      </c>
      <c r="K126" s="29">
        <v>20000</v>
      </c>
      <c r="L126" s="29">
        <v>20000</v>
      </c>
      <c r="M126" s="29">
        <v>0</v>
      </c>
      <c r="N126" s="29">
        <v>0</v>
      </c>
      <c r="O126" s="29">
        <v>0</v>
      </c>
      <c r="P126" s="105"/>
      <c r="Q126" s="105"/>
      <c r="R126" s="105"/>
      <c r="S126" s="105"/>
      <c r="T126" s="105"/>
      <c r="U126" s="105"/>
      <c r="V126" s="105"/>
      <c r="W126" s="105"/>
      <c r="X126" s="105"/>
      <c r="Y126" s="134"/>
      <c r="Z126" s="134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</row>
    <row r="127" spans="1:52" s="22" customFormat="1" ht="168" customHeight="1" x14ac:dyDescent="0.4">
      <c r="A127" s="137"/>
      <c r="B127" s="106"/>
      <c r="C127" s="137"/>
      <c r="D127" s="137"/>
      <c r="E127" s="137"/>
      <c r="F127" s="79" t="s">
        <v>35</v>
      </c>
      <c r="G127" s="29">
        <f>H127+I127+J127+K127+L127+M127+N127</f>
        <v>0</v>
      </c>
      <c r="H127" s="30" t="s">
        <v>36</v>
      </c>
      <c r="I127" s="29" t="s">
        <v>36</v>
      </c>
      <c r="J127" s="29" t="s">
        <v>36</v>
      </c>
      <c r="K127" s="29" t="s">
        <v>36</v>
      </c>
      <c r="L127" s="29" t="s">
        <v>36</v>
      </c>
      <c r="M127" s="29" t="s">
        <v>36</v>
      </c>
      <c r="N127" s="29" t="s">
        <v>36</v>
      </c>
      <c r="O127" s="29" t="s">
        <v>36</v>
      </c>
      <c r="P127" s="106"/>
      <c r="Q127" s="106"/>
      <c r="R127" s="106"/>
      <c r="S127" s="106"/>
      <c r="T127" s="106"/>
      <c r="U127" s="106"/>
      <c r="V127" s="106"/>
      <c r="W127" s="106"/>
      <c r="X127" s="106"/>
      <c r="Y127" s="120"/>
      <c r="Z127" s="120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</row>
    <row r="128" spans="1:52" s="22" customFormat="1" ht="127.5" customHeight="1" x14ac:dyDescent="0.4">
      <c r="A128" s="118"/>
      <c r="B128" s="104" t="s">
        <v>58</v>
      </c>
      <c r="C128" s="135"/>
      <c r="D128" s="135"/>
      <c r="E128" s="135"/>
      <c r="F128" s="79" t="s">
        <v>33</v>
      </c>
      <c r="G128" s="29">
        <f t="shared" ref="G128:O128" si="39">G129+G130</f>
        <v>0</v>
      </c>
      <c r="H128" s="29">
        <f t="shared" si="39"/>
        <v>0</v>
      </c>
      <c r="I128" s="29">
        <f t="shared" si="39"/>
        <v>0</v>
      </c>
      <c r="J128" s="29">
        <f t="shared" si="39"/>
        <v>0</v>
      </c>
      <c r="K128" s="29">
        <f t="shared" si="39"/>
        <v>0</v>
      </c>
      <c r="L128" s="29">
        <f t="shared" si="39"/>
        <v>0</v>
      </c>
      <c r="M128" s="29">
        <f t="shared" si="39"/>
        <v>0</v>
      </c>
      <c r="N128" s="29">
        <f t="shared" si="39"/>
        <v>0</v>
      </c>
      <c r="O128" s="29">
        <f t="shared" si="39"/>
        <v>0</v>
      </c>
      <c r="P128" s="104" t="s">
        <v>2</v>
      </c>
      <c r="Q128" s="104" t="s">
        <v>3</v>
      </c>
      <c r="R128" s="104" t="s">
        <v>9</v>
      </c>
      <c r="S128" s="104" t="s">
        <v>3</v>
      </c>
      <c r="T128" s="104" t="s">
        <v>5</v>
      </c>
      <c r="U128" s="104" t="s">
        <v>2</v>
      </c>
      <c r="V128" s="104" t="s">
        <v>10</v>
      </c>
      <c r="W128" s="104" t="s">
        <v>3</v>
      </c>
      <c r="X128" s="104" t="s">
        <v>5</v>
      </c>
      <c r="Y128" s="133" t="s">
        <v>2</v>
      </c>
      <c r="Z128" s="133" t="s">
        <v>2</v>
      </c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</row>
    <row r="129" spans="1:52" s="22" customFormat="1" ht="214.5" customHeight="1" x14ac:dyDescent="0.4">
      <c r="A129" s="118"/>
      <c r="B129" s="105"/>
      <c r="C129" s="136"/>
      <c r="D129" s="136"/>
      <c r="E129" s="136"/>
      <c r="F129" s="79" t="s">
        <v>34</v>
      </c>
      <c r="G129" s="29">
        <f>SUM(H129:N129)</f>
        <v>0</v>
      </c>
      <c r="H129" s="30">
        <v>0</v>
      </c>
      <c r="I129" s="29" t="s">
        <v>36</v>
      </c>
      <c r="J129" s="30">
        <v>0</v>
      </c>
      <c r="K129" s="29" t="s">
        <v>36</v>
      </c>
      <c r="L129" s="29" t="s">
        <v>36</v>
      </c>
      <c r="M129" s="29" t="s">
        <v>36</v>
      </c>
      <c r="N129" s="29" t="s">
        <v>36</v>
      </c>
      <c r="O129" s="29" t="s">
        <v>36</v>
      </c>
      <c r="P129" s="105"/>
      <c r="Q129" s="105"/>
      <c r="R129" s="105"/>
      <c r="S129" s="105"/>
      <c r="T129" s="105"/>
      <c r="U129" s="105"/>
      <c r="V129" s="105"/>
      <c r="W129" s="105"/>
      <c r="X129" s="105"/>
      <c r="Y129" s="134"/>
      <c r="Z129" s="134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</row>
    <row r="130" spans="1:52" s="22" customFormat="1" ht="174" customHeight="1" x14ac:dyDescent="0.4">
      <c r="A130" s="118"/>
      <c r="B130" s="106"/>
      <c r="C130" s="137"/>
      <c r="D130" s="137"/>
      <c r="E130" s="137"/>
      <c r="F130" s="79" t="s">
        <v>35</v>
      </c>
      <c r="G130" s="29">
        <f>SUM(H130:N130)</f>
        <v>0</v>
      </c>
      <c r="H130" s="30" t="s">
        <v>36</v>
      </c>
      <c r="I130" s="29" t="s">
        <v>36</v>
      </c>
      <c r="J130" s="29" t="s">
        <v>36</v>
      </c>
      <c r="K130" s="29" t="s">
        <v>36</v>
      </c>
      <c r="L130" s="29" t="s">
        <v>36</v>
      </c>
      <c r="M130" s="29" t="s">
        <v>36</v>
      </c>
      <c r="N130" s="29" t="s">
        <v>36</v>
      </c>
      <c r="O130" s="29" t="s">
        <v>36</v>
      </c>
      <c r="P130" s="106"/>
      <c r="Q130" s="106"/>
      <c r="R130" s="106"/>
      <c r="S130" s="106"/>
      <c r="T130" s="106"/>
      <c r="U130" s="106"/>
      <c r="V130" s="106"/>
      <c r="W130" s="106"/>
      <c r="X130" s="106"/>
      <c r="Y130" s="120"/>
      <c r="Z130" s="120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</row>
    <row r="131" spans="1:52" s="22" customFormat="1" ht="126" customHeight="1" x14ac:dyDescent="0.4">
      <c r="A131" s="118"/>
      <c r="B131" s="104" t="s">
        <v>69</v>
      </c>
      <c r="C131" s="135"/>
      <c r="D131" s="135"/>
      <c r="E131" s="135"/>
      <c r="F131" s="79" t="s">
        <v>33</v>
      </c>
      <c r="G131" s="29">
        <f t="shared" ref="G131:O131" si="40">G132+G133</f>
        <v>2000</v>
      </c>
      <c r="H131" s="29">
        <f t="shared" si="40"/>
        <v>2000</v>
      </c>
      <c r="I131" s="29">
        <f t="shared" si="40"/>
        <v>0</v>
      </c>
      <c r="J131" s="29">
        <f t="shared" si="40"/>
        <v>0</v>
      </c>
      <c r="K131" s="29">
        <f t="shared" si="40"/>
        <v>0</v>
      </c>
      <c r="L131" s="29">
        <f t="shared" si="40"/>
        <v>0</v>
      </c>
      <c r="M131" s="29">
        <f t="shared" si="40"/>
        <v>0</v>
      </c>
      <c r="N131" s="29">
        <f t="shared" si="40"/>
        <v>0</v>
      </c>
      <c r="O131" s="29">
        <f t="shared" si="40"/>
        <v>0</v>
      </c>
      <c r="P131" s="104" t="s">
        <v>2</v>
      </c>
      <c r="Q131" s="104" t="s">
        <v>3</v>
      </c>
      <c r="R131" s="104" t="s">
        <v>9</v>
      </c>
      <c r="S131" s="104" t="s">
        <v>3</v>
      </c>
      <c r="T131" s="104" t="s">
        <v>5</v>
      </c>
      <c r="U131" s="104" t="s">
        <v>2</v>
      </c>
      <c r="V131" s="104" t="s">
        <v>10</v>
      </c>
      <c r="W131" s="104" t="s">
        <v>3</v>
      </c>
      <c r="X131" s="104" t="s">
        <v>5</v>
      </c>
      <c r="Y131" s="133" t="s">
        <v>2</v>
      </c>
      <c r="Z131" s="133" t="s">
        <v>2</v>
      </c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</row>
    <row r="132" spans="1:52" s="22" customFormat="1" ht="223.5" customHeight="1" x14ac:dyDescent="0.4">
      <c r="A132" s="118"/>
      <c r="B132" s="105"/>
      <c r="C132" s="136"/>
      <c r="D132" s="136"/>
      <c r="E132" s="136"/>
      <c r="F132" s="79" t="s">
        <v>34</v>
      </c>
      <c r="G132" s="29">
        <f>H132+I132+J132+K132+L132+M132+N132</f>
        <v>2000</v>
      </c>
      <c r="H132" s="30">
        <v>2000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105"/>
      <c r="Q132" s="105"/>
      <c r="R132" s="105"/>
      <c r="S132" s="105"/>
      <c r="T132" s="105"/>
      <c r="U132" s="105"/>
      <c r="V132" s="105"/>
      <c r="W132" s="105"/>
      <c r="X132" s="105"/>
      <c r="Y132" s="134"/>
      <c r="Z132" s="134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</row>
    <row r="133" spans="1:52" s="22" customFormat="1" ht="174" customHeight="1" x14ac:dyDescent="0.4">
      <c r="A133" s="118"/>
      <c r="B133" s="106"/>
      <c r="C133" s="137"/>
      <c r="D133" s="137"/>
      <c r="E133" s="137"/>
      <c r="F133" s="79" t="s">
        <v>35</v>
      </c>
      <c r="G133" s="29">
        <f>H133+I133+J133+K133+L133+M133+N133</f>
        <v>0</v>
      </c>
      <c r="H133" s="30" t="s">
        <v>36</v>
      </c>
      <c r="I133" s="29" t="s">
        <v>36</v>
      </c>
      <c r="J133" s="29">
        <v>0</v>
      </c>
      <c r="K133" s="29" t="s">
        <v>36</v>
      </c>
      <c r="L133" s="29" t="s">
        <v>36</v>
      </c>
      <c r="M133" s="29" t="s">
        <v>36</v>
      </c>
      <c r="N133" s="29" t="s">
        <v>36</v>
      </c>
      <c r="O133" s="29" t="s">
        <v>36</v>
      </c>
      <c r="P133" s="106"/>
      <c r="Q133" s="106"/>
      <c r="R133" s="106"/>
      <c r="S133" s="106"/>
      <c r="T133" s="106"/>
      <c r="U133" s="106"/>
      <c r="V133" s="106"/>
      <c r="W133" s="106"/>
      <c r="X133" s="106"/>
      <c r="Y133" s="120"/>
      <c r="Z133" s="120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</row>
    <row r="134" spans="1:52" s="22" customFormat="1" ht="106.5" customHeight="1" x14ac:dyDescent="0.4">
      <c r="A134" s="118"/>
      <c r="B134" s="104" t="s">
        <v>68</v>
      </c>
      <c r="C134" s="135"/>
      <c r="D134" s="135"/>
      <c r="E134" s="135"/>
      <c r="F134" s="79" t="s">
        <v>33</v>
      </c>
      <c r="G134" s="29">
        <f t="shared" ref="G134:O134" si="41">G135+G136</f>
        <v>10760319.869999999</v>
      </c>
      <c r="H134" s="29">
        <f t="shared" si="41"/>
        <v>1319943.1399999999</v>
      </c>
      <c r="I134" s="29">
        <f t="shared" si="41"/>
        <v>1351530.7799999998</v>
      </c>
      <c r="J134" s="29">
        <f t="shared" si="41"/>
        <v>1678001.55</v>
      </c>
      <c r="K134" s="29">
        <f t="shared" si="41"/>
        <v>1627620.37</v>
      </c>
      <c r="L134" s="29">
        <f t="shared" si="41"/>
        <v>1924385.0299999998</v>
      </c>
      <c r="M134" s="29">
        <f t="shared" si="41"/>
        <v>1671415</v>
      </c>
      <c r="N134" s="29">
        <f t="shared" si="41"/>
        <v>1187424</v>
      </c>
      <c r="O134" s="29">
        <f t="shared" si="41"/>
        <v>1187424</v>
      </c>
      <c r="P134" s="104" t="s">
        <v>2</v>
      </c>
      <c r="Q134" s="104" t="s">
        <v>3</v>
      </c>
      <c r="R134" s="104" t="s">
        <v>9</v>
      </c>
      <c r="S134" s="104" t="s">
        <v>3</v>
      </c>
      <c r="T134" s="104" t="s">
        <v>5</v>
      </c>
      <c r="U134" s="104" t="s">
        <v>2</v>
      </c>
      <c r="V134" s="104" t="s">
        <v>10</v>
      </c>
      <c r="W134" s="104" t="s">
        <v>3</v>
      </c>
      <c r="X134" s="104" t="s">
        <v>5</v>
      </c>
      <c r="Y134" s="133" t="s">
        <v>2</v>
      </c>
      <c r="Z134" s="133" t="s">
        <v>2</v>
      </c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</row>
    <row r="135" spans="1:52" s="22" customFormat="1" ht="225" customHeight="1" x14ac:dyDescent="0.4">
      <c r="A135" s="118"/>
      <c r="B135" s="105"/>
      <c r="C135" s="136"/>
      <c r="D135" s="136"/>
      <c r="E135" s="136"/>
      <c r="F135" s="79" t="s">
        <v>34</v>
      </c>
      <c r="G135" s="29">
        <f>H135+I135+J135+K135+L135+M135+N135</f>
        <v>7852280.4799999995</v>
      </c>
      <c r="H135" s="30">
        <v>1029836.69</v>
      </c>
      <c r="I135" s="29">
        <f>1072110.27+2964.4</f>
        <v>1075074.67</v>
      </c>
      <c r="J135" s="29">
        <f>1195144.08+9050+129800-15440.16/2+10000-9050</f>
        <v>1327224</v>
      </c>
      <c r="K135" s="29">
        <f>(1854990.2+560207.1)/2-19938.15-72757.03-6490.7</f>
        <v>1108412.77</v>
      </c>
      <c r="L135" s="29">
        <f>583714+573414.45-67954.31+41219.21</f>
        <v>1130393.3499999999</v>
      </c>
      <c r="M135" s="29">
        <f>912000+275424+4335-197844</f>
        <v>993915</v>
      </c>
      <c r="N135" s="29">
        <f>912000+275424</f>
        <v>1187424</v>
      </c>
      <c r="O135" s="29">
        <f>912000+275424</f>
        <v>1187424</v>
      </c>
      <c r="P135" s="105"/>
      <c r="Q135" s="105"/>
      <c r="R135" s="105"/>
      <c r="S135" s="105"/>
      <c r="T135" s="105"/>
      <c r="U135" s="105"/>
      <c r="V135" s="105"/>
      <c r="W135" s="105"/>
      <c r="X135" s="105"/>
      <c r="Y135" s="134"/>
      <c r="Z135" s="134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</row>
    <row r="136" spans="1:52" s="22" customFormat="1" ht="174" customHeight="1" x14ac:dyDescent="0.4">
      <c r="A136" s="118"/>
      <c r="B136" s="106"/>
      <c r="C136" s="137"/>
      <c r="D136" s="137"/>
      <c r="E136" s="137"/>
      <c r="F136" s="79" t="s">
        <v>35</v>
      </c>
      <c r="G136" s="29">
        <f>H136+I136+J136+K136+L136+M136+N136</f>
        <v>2908039.39</v>
      </c>
      <c r="H136" s="42">
        <v>290106.45</v>
      </c>
      <c r="I136" s="29">
        <v>276456.11</v>
      </c>
      <c r="J136" s="29">
        <f>333103.68+17673.87</f>
        <v>350777.55</v>
      </c>
      <c r="K136" s="29">
        <f>1025433.8/2+6490.7</f>
        <v>519207.60000000003</v>
      </c>
      <c r="L136" s="29">
        <f>320273.23+319042.5+125000+29675.95</f>
        <v>793991.67999999993</v>
      </c>
      <c r="M136" s="29">
        <v>677500</v>
      </c>
      <c r="N136" s="29" t="s">
        <v>36</v>
      </c>
      <c r="O136" s="29" t="s">
        <v>36</v>
      </c>
      <c r="P136" s="106"/>
      <c r="Q136" s="106"/>
      <c r="R136" s="106"/>
      <c r="S136" s="106"/>
      <c r="T136" s="106"/>
      <c r="U136" s="106"/>
      <c r="V136" s="106"/>
      <c r="W136" s="106"/>
      <c r="X136" s="106"/>
      <c r="Y136" s="120"/>
      <c r="Z136" s="120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</row>
    <row r="137" spans="1:52" s="22" customFormat="1" ht="106.5" customHeight="1" x14ac:dyDescent="0.4">
      <c r="A137" s="118"/>
      <c r="B137" s="104" t="s">
        <v>96</v>
      </c>
      <c r="C137" s="135"/>
      <c r="D137" s="135"/>
      <c r="E137" s="135"/>
      <c r="F137" s="79" t="s">
        <v>33</v>
      </c>
      <c r="G137" s="29">
        <f t="shared" ref="G137:O137" si="42">G138+G139</f>
        <v>9425796.4699999988</v>
      </c>
      <c r="H137" s="29">
        <f t="shared" si="42"/>
        <v>1319943.1399999999</v>
      </c>
      <c r="I137" s="29">
        <f t="shared" si="42"/>
        <v>1348566.38</v>
      </c>
      <c r="J137" s="29">
        <f t="shared" si="42"/>
        <v>1538201.5500000003</v>
      </c>
      <c r="K137" s="29">
        <f t="shared" si="42"/>
        <v>1627620.37</v>
      </c>
      <c r="L137" s="29">
        <f t="shared" si="42"/>
        <v>1924385.0299999998</v>
      </c>
      <c r="M137" s="29">
        <f t="shared" si="42"/>
        <v>1667080</v>
      </c>
      <c r="N137" s="29">
        <f t="shared" si="42"/>
        <v>0</v>
      </c>
      <c r="O137" s="29">
        <f t="shared" si="42"/>
        <v>0</v>
      </c>
      <c r="P137" s="104" t="s">
        <v>116</v>
      </c>
      <c r="Q137" s="104" t="s">
        <v>61</v>
      </c>
      <c r="R137" s="104"/>
      <c r="S137" s="104">
        <v>78.78</v>
      </c>
      <c r="T137" s="104">
        <v>77.349999999999994</v>
      </c>
      <c r="U137" s="104">
        <v>75.5</v>
      </c>
      <c r="V137" s="104">
        <v>77.56</v>
      </c>
      <c r="W137" s="104">
        <v>78.03</v>
      </c>
      <c r="X137" s="104">
        <v>72.75</v>
      </c>
      <c r="Y137" s="104">
        <v>72.75</v>
      </c>
      <c r="Z137" s="104">
        <v>72.75</v>
      </c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</row>
    <row r="138" spans="1:52" s="22" customFormat="1" ht="238.5" customHeight="1" x14ac:dyDescent="0.4">
      <c r="A138" s="118"/>
      <c r="B138" s="105"/>
      <c r="C138" s="136"/>
      <c r="D138" s="136"/>
      <c r="E138" s="136"/>
      <c r="F138" s="79" t="s">
        <v>34</v>
      </c>
      <c r="G138" s="29">
        <f>H138+I138+J138+K138+L138+M138+N138</f>
        <v>6524247.7799999993</v>
      </c>
      <c r="H138" s="30">
        <v>1029836.69</v>
      </c>
      <c r="I138" s="29">
        <v>1072110.27</v>
      </c>
      <c r="J138" s="29">
        <f>948916.33+399248.25/2+93207.24/2-15440.15/2</f>
        <v>1187424.0000000002</v>
      </c>
      <c r="K138" s="29">
        <f>(1854990.2+560207.1)/2-19938.15-72757.03</f>
        <v>1114903.47</v>
      </c>
      <c r="L138" s="29">
        <f>1167128.45-77954.31+41219.21</f>
        <v>1130393.3499999999</v>
      </c>
      <c r="M138" s="29">
        <v>989580</v>
      </c>
      <c r="N138" s="29">
        <v>0</v>
      </c>
      <c r="O138" s="29">
        <v>0</v>
      </c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</row>
    <row r="139" spans="1:52" s="22" customFormat="1" ht="241.5" customHeight="1" x14ac:dyDescent="0.4">
      <c r="A139" s="118"/>
      <c r="B139" s="106"/>
      <c r="C139" s="137"/>
      <c r="D139" s="137"/>
      <c r="E139" s="137"/>
      <c r="F139" s="79" t="s">
        <v>35</v>
      </c>
      <c r="G139" s="29">
        <f>H139+I139+J139+K139+L139+M139+N139</f>
        <v>2901548.6900000004</v>
      </c>
      <c r="H139" s="42">
        <v>290106.45</v>
      </c>
      <c r="I139" s="29">
        <v>276456.11</v>
      </c>
      <c r="J139" s="29">
        <f>333103.68+17673.87</f>
        <v>350777.55</v>
      </c>
      <c r="K139" s="29">
        <f>1025433.8/2</f>
        <v>512716.9</v>
      </c>
      <c r="L139" s="29">
        <f>320273.23+319042.5+125000+29675.95</f>
        <v>793991.67999999993</v>
      </c>
      <c r="M139" s="29">
        <v>677500</v>
      </c>
      <c r="N139" s="29" t="s">
        <v>36</v>
      </c>
      <c r="O139" s="29" t="s">
        <v>36</v>
      </c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</row>
    <row r="140" spans="1:52" s="22" customFormat="1" ht="133.5" customHeight="1" x14ac:dyDescent="0.4">
      <c r="A140" s="135"/>
      <c r="B140" s="104" t="s">
        <v>70</v>
      </c>
      <c r="C140" s="135"/>
      <c r="D140" s="135"/>
      <c r="E140" s="135"/>
      <c r="F140" s="79" t="s">
        <v>33</v>
      </c>
      <c r="G140" s="29">
        <f t="shared" ref="G140:O140" si="43">G141+G142</f>
        <v>255102.04</v>
      </c>
      <c r="H140" s="29">
        <f t="shared" si="43"/>
        <v>0</v>
      </c>
      <c r="I140" s="29">
        <f t="shared" si="43"/>
        <v>0</v>
      </c>
      <c r="J140" s="29">
        <f t="shared" si="43"/>
        <v>0</v>
      </c>
      <c r="K140" s="29">
        <f t="shared" si="43"/>
        <v>0</v>
      </c>
      <c r="L140" s="29">
        <f>L141+L142</f>
        <v>255102.04</v>
      </c>
      <c r="M140" s="29">
        <f t="shared" si="43"/>
        <v>0</v>
      </c>
      <c r="N140" s="29">
        <f t="shared" si="43"/>
        <v>0</v>
      </c>
      <c r="O140" s="29">
        <f t="shared" si="43"/>
        <v>0</v>
      </c>
      <c r="P140" s="79"/>
      <c r="Q140" s="79"/>
      <c r="R140" s="79"/>
      <c r="S140" s="79"/>
      <c r="T140" s="79"/>
      <c r="U140" s="79"/>
      <c r="V140" s="79"/>
      <c r="W140" s="79"/>
      <c r="X140" s="79"/>
      <c r="Y140" s="84"/>
      <c r="Z140" s="84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</row>
    <row r="141" spans="1:52" s="22" customFormat="1" ht="288" customHeight="1" x14ac:dyDescent="0.4">
      <c r="A141" s="136"/>
      <c r="B141" s="105"/>
      <c r="C141" s="136"/>
      <c r="D141" s="136"/>
      <c r="E141" s="136"/>
      <c r="F141" s="79" t="s">
        <v>34</v>
      </c>
      <c r="G141" s="29">
        <f>H141+I141+J141+K141+L141+M141+N141</f>
        <v>5102.04</v>
      </c>
      <c r="H141" s="30">
        <v>0</v>
      </c>
      <c r="I141" s="29">
        <v>0</v>
      </c>
      <c r="J141" s="30">
        <v>0</v>
      </c>
      <c r="K141" s="29">
        <v>0</v>
      </c>
      <c r="L141" s="29">
        <f>L144</f>
        <v>5102.04</v>
      </c>
      <c r="M141" s="29">
        <v>0</v>
      </c>
      <c r="N141" s="29">
        <v>0</v>
      </c>
      <c r="O141" s="29">
        <v>0</v>
      </c>
      <c r="P141" s="79"/>
      <c r="Q141" s="79"/>
      <c r="R141" s="79"/>
      <c r="S141" s="79" t="s">
        <v>4</v>
      </c>
      <c r="T141" s="79" t="s">
        <v>4</v>
      </c>
      <c r="U141" s="79" t="s">
        <v>4</v>
      </c>
      <c r="V141" s="79" t="s">
        <v>4</v>
      </c>
      <c r="W141" s="79" t="s">
        <v>4</v>
      </c>
      <c r="X141" s="79" t="s">
        <v>4</v>
      </c>
      <c r="Y141" s="84" t="s">
        <v>4</v>
      </c>
      <c r="Z141" s="84" t="s">
        <v>4</v>
      </c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</row>
    <row r="142" spans="1:52" s="22" customFormat="1" ht="174" customHeight="1" x14ac:dyDescent="0.4">
      <c r="A142" s="137"/>
      <c r="B142" s="106"/>
      <c r="C142" s="137"/>
      <c r="D142" s="137"/>
      <c r="E142" s="137"/>
      <c r="F142" s="79" t="s">
        <v>35</v>
      </c>
      <c r="G142" s="29">
        <f>H142+I142+J142+K142+L142+M142+N142</f>
        <v>250000</v>
      </c>
      <c r="H142" s="30" t="s">
        <v>36</v>
      </c>
      <c r="I142" s="29" t="s">
        <v>36</v>
      </c>
      <c r="J142" s="29" t="s">
        <v>36</v>
      </c>
      <c r="K142" s="29" t="s">
        <v>36</v>
      </c>
      <c r="L142" s="29">
        <f>L145</f>
        <v>250000</v>
      </c>
      <c r="M142" s="29" t="s">
        <v>36</v>
      </c>
      <c r="N142" s="29" t="s">
        <v>36</v>
      </c>
      <c r="O142" s="29" t="s">
        <v>36</v>
      </c>
      <c r="P142" s="79"/>
      <c r="Q142" s="79"/>
      <c r="R142" s="79"/>
      <c r="S142" s="79"/>
      <c r="T142" s="79"/>
      <c r="U142" s="79"/>
      <c r="V142" s="79"/>
      <c r="W142" s="79"/>
      <c r="X142" s="79"/>
      <c r="Y142" s="84"/>
      <c r="Z142" s="84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</row>
    <row r="143" spans="1:52" s="22" customFormat="1" ht="127.5" customHeight="1" x14ac:dyDescent="0.4">
      <c r="A143" s="118"/>
      <c r="B143" s="104" t="s">
        <v>131</v>
      </c>
      <c r="C143" s="135"/>
      <c r="D143" s="135"/>
      <c r="E143" s="135"/>
      <c r="F143" s="71" t="s">
        <v>33</v>
      </c>
      <c r="G143" s="80">
        <f t="shared" ref="G143:O143" si="44">G144+G145</f>
        <v>255102.04</v>
      </c>
      <c r="H143" s="80">
        <f t="shared" si="44"/>
        <v>0</v>
      </c>
      <c r="I143" s="80">
        <f t="shared" si="44"/>
        <v>0</v>
      </c>
      <c r="J143" s="80">
        <f t="shared" si="44"/>
        <v>0</v>
      </c>
      <c r="K143" s="80">
        <f t="shared" si="44"/>
        <v>0</v>
      </c>
      <c r="L143" s="80">
        <f t="shared" si="44"/>
        <v>255102.04</v>
      </c>
      <c r="M143" s="93">
        <f t="shared" si="44"/>
        <v>0</v>
      </c>
      <c r="N143" s="80">
        <f t="shared" si="44"/>
        <v>0</v>
      </c>
      <c r="O143" s="80">
        <f t="shared" si="44"/>
        <v>0</v>
      </c>
      <c r="P143" s="104" t="s">
        <v>129</v>
      </c>
      <c r="Q143" s="104" t="s">
        <v>24</v>
      </c>
      <c r="R143" s="104">
        <v>1</v>
      </c>
      <c r="S143" s="140" t="s">
        <v>11</v>
      </c>
      <c r="T143" s="140" t="s">
        <v>11</v>
      </c>
      <c r="U143" s="140" t="s">
        <v>11</v>
      </c>
      <c r="V143" s="140" t="s">
        <v>11</v>
      </c>
      <c r="W143" s="140">
        <v>1</v>
      </c>
      <c r="X143" s="140" t="s">
        <v>11</v>
      </c>
      <c r="Y143" s="133" t="s">
        <v>11</v>
      </c>
      <c r="Z143" s="133" t="s">
        <v>11</v>
      </c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</row>
    <row r="144" spans="1:52" s="22" customFormat="1" ht="219" customHeight="1" x14ac:dyDescent="0.4">
      <c r="A144" s="118"/>
      <c r="B144" s="105"/>
      <c r="C144" s="136"/>
      <c r="D144" s="136"/>
      <c r="E144" s="136"/>
      <c r="F144" s="79" t="s">
        <v>34</v>
      </c>
      <c r="G144" s="29">
        <f>H144+I144+J144+K144+L144+N144+M144</f>
        <v>5102.04</v>
      </c>
      <c r="H144" s="30">
        <v>0</v>
      </c>
      <c r="I144" s="29">
        <v>0</v>
      </c>
      <c r="J144" s="29">
        <v>0</v>
      </c>
      <c r="K144" s="29">
        <v>0</v>
      </c>
      <c r="L144" s="29">
        <v>5102.04</v>
      </c>
      <c r="M144" s="29">
        <v>0</v>
      </c>
      <c r="N144" s="29">
        <v>0</v>
      </c>
      <c r="O144" s="29">
        <v>0</v>
      </c>
      <c r="P144" s="105"/>
      <c r="Q144" s="105"/>
      <c r="R144" s="105"/>
      <c r="S144" s="141"/>
      <c r="T144" s="141"/>
      <c r="U144" s="141"/>
      <c r="V144" s="141"/>
      <c r="W144" s="141"/>
      <c r="X144" s="141"/>
      <c r="Y144" s="134"/>
      <c r="Z144" s="134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</row>
    <row r="145" spans="1:52" s="22" customFormat="1" ht="156.75" customHeight="1" x14ac:dyDescent="0.4">
      <c r="A145" s="118"/>
      <c r="B145" s="106"/>
      <c r="C145" s="137"/>
      <c r="D145" s="137"/>
      <c r="E145" s="137"/>
      <c r="F145" s="79" t="s">
        <v>35</v>
      </c>
      <c r="G145" s="29">
        <f>H145+I145+J145+K145+L145+N145+M145</f>
        <v>250000</v>
      </c>
      <c r="H145" s="30">
        <v>0</v>
      </c>
      <c r="I145" s="29">
        <v>0</v>
      </c>
      <c r="J145" s="29" t="s">
        <v>36</v>
      </c>
      <c r="K145" s="29">
        <v>0</v>
      </c>
      <c r="L145" s="29">
        <v>250000</v>
      </c>
      <c r="M145" s="29" t="s">
        <v>36</v>
      </c>
      <c r="N145" s="29" t="s">
        <v>36</v>
      </c>
      <c r="O145" s="29" t="s">
        <v>36</v>
      </c>
      <c r="P145" s="106"/>
      <c r="Q145" s="106"/>
      <c r="R145" s="106"/>
      <c r="S145" s="142"/>
      <c r="T145" s="142"/>
      <c r="U145" s="142"/>
      <c r="V145" s="142"/>
      <c r="W145" s="142"/>
      <c r="X145" s="142"/>
      <c r="Y145" s="120"/>
      <c r="Z145" s="120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</row>
    <row r="146" spans="1:52" s="22" customFormat="1" ht="69" customHeight="1" x14ac:dyDescent="0.4">
      <c r="A146" s="135"/>
      <c r="B146" s="104" t="s">
        <v>71</v>
      </c>
      <c r="C146" s="135"/>
      <c r="D146" s="135"/>
      <c r="E146" s="135"/>
      <c r="F146" s="79" t="s">
        <v>33</v>
      </c>
      <c r="G146" s="29">
        <f t="shared" ref="G146:O146" si="45">G147+G148</f>
        <v>0</v>
      </c>
      <c r="H146" s="29">
        <f t="shared" si="45"/>
        <v>0</v>
      </c>
      <c r="I146" s="29">
        <f t="shared" si="45"/>
        <v>0</v>
      </c>
      <c r="J146" s="29">
        <f t="shared" si="45"/>
        <v>0</v>
      </c>
      <c r="K146" s="29">
        <f t="shared" si="45"/>
        <v>0</v>
      </c>
      <c r="L146" s="29">
        <f t="shared" si="45"/>
        <v>0</v>
      </c>
      <c r="M146" s="29">
        <f t="shared" si="45"/>
        <v>0</v>
      </c>
      <c r="N146" s="29">
        <f t="shared" si="45"/>
        <v>0</v>
      </c>
      <c r="O146" s="29">
        <f t="shared" si="45"/>
        <v>0</v>
      </c>
      <c r="P146" s="79"/>
      <c r="Q146" s="79"/>
      <c r="R146" s="79"/>
      <c r="S146" s="79"/>
      <c r="T146" s="79"/>
      <c r="U146" s="79"/>
      <c r="V146" s="79"/>
      <c r="W146" s="79"/>
      <c r="X146" s="79"/>
      <c r="Y146" s="84"/>
      <c r="Z146" s="84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</row>
    <row r="147" spans="1:52" s="22" customFormat="1" ht="225" customHeight="1" x14ac:dyDescent="0.4">
      <c r="A147" s="136"/>
      <c r="B147" s="105"/>
      <c r="C147" s="136"/>
      <c r="D147" s="136"/>
      <c r="E147" s="136"/>
      <c r="F147" s="79" t="s">
        <v>34</v>
      </c>
      <c r="G147" s="29">
        <f>H147+I147+J147+K147+L147+M147+N147</f>
        <v>0</v>
      </c>
      <c r="H147" s="30">
        <v>0</v>
      </c>
      <c r="I147" s="29">
        <v>0</v>
      </c>
      <c r="J147" s="30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79"/>
      <c r="Q147" s="79"/>
      <c r="R147" s="79"/>
      <c r="S147" s="79" t="s">
        <v>4</v>
      </c>
      <c r="T147" s="79" t="s">
        <v>4</v>
      </c>
      <c r="U147" s="79" t="s">
        <v>4</v>
      </c>
      <c r="V147" s="79" t="s">
        <v>4</v>
      </c>
      <c r="W147" s="79" t="s">
        <v>4</v>
      </c>
      <c r="X147" s="79" t="s">
        <v>4</v>
      </c>
      <c r="Y147" s="84" t="s">
        <v>4</v>
      </c>
      <c r="Z147" s="84" t="s">
        <v>4</v>
      </c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</row>
    <row r="148" spans="1:52" s="22" customFormat="1" ht="174" customHeight="1" x14ac:dyDescent="0.4">
      <c r="A148" s="137"/>
      <c r="B148" s="106"/>
      <c r="C148" s="137"/>
      <c r="D148" s="137"/>
      <c r="E148" s="137"/>
      <c r="F148" s="79" t="s">
        <v>35</v>
      </c>
      <c r="G148" s="29">
        <f>H148+I148+J148+K148+L148+M148+N148</f>
        <v>0</v>
      </c>
      <c r="H148" s="30" t="s">
        <v>36</v>
      </c>
      <c r="I148" s="29" t="s">
        <v>36</v>
      </c>
      <c r="J148" s="29" t="s">
        <v>36</v>
      </c>
      <c r="K148" s="29" t="s">
        <v>36</v>
      </c>
      <c r="L148" s="29">
        <v>0</v>
      </c>
      <c r="M148" s="29" t="s">
        <v>36</v>
      </c>
      <c r="N148" s="29" t="s">
        <v>36</v>
      </c>
      <c r="O148" s="29" t="s">
        <v>36</v>
      </c>
      <c r="P148" s="79"/>
      <c r="Q148" s="79"/>
      <c r="R148" s="79"/>
      <c r="S148" s="79"/>
      <c r="T148" s="79"/>
      <c r="U148" s="79"/>
      <c r="V148" s="79"/>
      <c r="W148" s="79"/>
      <c r="X148" s="79"/>
      <c r="Y148" s="84"/>
      <c r="Z148" s="84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</row>
    <row r="149" spans="1:52" s="22" customFormat="1" ht="126" customHeight="1" x14ac:dyDescent="0.4">
      <c r="A149" s="135"/>
      <c r="B149" s="104" t="s">
        <v>83</v>
      </c>
      <c r="C149" s="135"/>
      <c r="D149" s="135"/>
      <c r="E149" s="135"/>
      <c r="F149" s="79" t="s">
        <v>33</v>
      </c>
      <c r="G149" s="29">
        <f t="shared" ref="G149:O149" si="46">G150+G151</f>
        <v>10671371.060000001</v>
      </c>
      <c r="H149" s="29">
        <f t="shared" si="46"/>
        <v>1331443.1300000001</v>
      </c>
      <c r="I149" s="29">
        <f t="shared" si="46"/>
        <v>1348566.38</v>
      </c>
      <c r="J149" s="29">
        <f t="shared" si="46"/>
        <v>1547201.55</v>
      </c>
      <c r="K149" s="29">
        <f t="shared" si="46"/>
        <v>1645270.98</v>
      </c>
      <c r="L149" s="29">
        <f t="shared" si="46"/>
        <v>1944385.0199999998</v>
      </c>
      <c r="M149" s="29">
        <f t="shared" si="46"/>
        <v>1667080</v>
      </c>
      <c r="N149" s="29">
        <f t="shared" si="46"/>
        <v>1187424</v>
      </c>
      <c r="O149" s="29">
        <f t="shared" si="46"/>
        <v>1187424</v>
      </c>
      <c r="P149" s="167" t="s">
        <v>66</v>
      </c>
      <c r="Q149" s="104" t="s">
        <v>61</v>
      </c>
      <c r="R149" s="104"/>
      <c r="S149" s="104">
        <v>0.1</v>
      </c>
      <c r="T149" s="104">
        <v>0.1</v>
      </c>
      <c r="U149" s="104">
        <v>0.1</v>
      </c>
      <c r="V149" s="104">
        <v>0.1</v>
      </c>
      <c r="W149" s="104">
        <v>0.1</v>
      </c>
      <c r="X149" s="104">
        <v>0.1</v>
      </c>
      <c r="Y149" s="133">
        <v>0.1</v>
      </c>
      <c r="Z149" s="133">
        <v>0.1</v>
      </c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</row>
    <row r="150" spans="1:52" s="22" customFormat="1" ht="220.5" customHeight="1" x14ac:dyDescent="0.4">
      <c r="A150" s="136"/>
      <c r="B150" s="105"/>
      <c r="C150" s="136"/>
      <c r="D150" s="136"/>
      <c r="E150" s="136"/>
      <c r="F150" s="79" t="s">
        <v>34</v>
      </c>
      <c r="G150" s="29">
        <f>SUM(H150:N150)</f>
        <v>7769822.3799999999</v>
      </c>
      <c r="H150" s="29">
        <f t="shared" ref="H150:O151" si="47">H153+H156+H162+H165</f>
        <v>1041336.68</v>
      </c>
      <c r="I150" s="29">
        <f t="shared" si="47"/>
        <v>1072110.27</v>
      </c>
      <c r="J150" s="29">
        <f t="shared" si="47"/>
        <v>1196424</v>
      </c>
      <c r="K150" s="29">
        <f t="shared" si="47"/>
        <v>1132554.08</v>
      </c>
      <c r="L150" s="29">
        <f t="shared" si="47"/>
        <v>1150393.3499999999</v>
      </c>
      <c r="M150" s="29">
        <f t="shared" si="47"/>
        <v>989580</v>
      </c>
      <c r="N150" s="29">
        <f t="shared" si="47"/>
        <v>1187424</v>
      </c>
      <c r="O150" s="29">
        <f t="shared" si="47"/>
        <v>1187424</v>
      </c>
      <c r="P150" s="168"/>
      <c r="Q150" s="106"/>
      <c r="R150" s="106"/>
      <c r="S150" s="106"/>
      <c r="T150" s="106"/>
      <c r="U150" s="106"/>
      <c r="V150" s="106"/>
      <c r="W150" s="106"/>
      <c r="X150" s="106"/>
      <c r="Y150" s="120"/>
      <c r="Z150" s="120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</row>
    <row r="151" spans="1:52" s="22" customFormat="1" ht="174" customHeight="1" x14ac:dyDescent="0.4">
      <c r="A151" s="137"/>
      <c r="B151" s="106"/>
      <c r="C151" s="137"/>
      <c r="D151" s="137"/>
      <c r="E151" s="47"/>
      <c r="F151" s="79" t="s">
        <v>35</v>
      </c>
      <c r="G151" s="29">
        <f>SUM(H151:N151)</f>
        <v>2901548.68</v>
      </c>
      <c r="H151" s="29">
        <f t="shared" si="47"/>
        <v>290106.45</v>
      </c>
      <c r="I151" s="29">
        <f t="shared" si="47"/>
        <v>276456.11</v>
      </c>
      <c r="J151" s="29">
        <f t="shared" si="47"/>
        <v>350777.55</v>
      </c>
      <c r="K151" s="29">
        <f t="shared" si="47"/>
        <v>512716.9</v>
      </c>
      <c r="L151" s="29">
        <f t="shared" si="47"/>
        <v>793991.66999999993</v>
      </c>
      <c r="M151" s="29">
        <f t="shared" si="47"/>
        <v>677500</v>
      </c>
      <c r="N151" s="29">
        <f t="shared" si="47"/>
        <v>0</v>
      </c>
      <c r="O151" s="29">
        <f t="shared" si="47"/>
        <v>0</v>
      </c>
      <c r="P151" s="169"/>
      <c r="Q151" s="79"/>
      <c r="R151" s="79"/>
      <c r="S151" s="79"/>
      <c r="T151" s="79"/>
      <c r="U151" s="79"/>
      <c r="V151" s="79"/>
      <c r="W151" s="79"/>
      <c r="X151" s="79"/>
      <c r="Y151" s="84"/>
      <c r="Z151" s="84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</row>
    <row r="152" spans="1:52" s="49" customFormat="1" ht="112.5" customHeight="1" x14ac:dyDescent="0.4">
      <c r="A152" s="135"/>
      <c r="B152" s="104" t="s">
        <v>84</v>
      </c>
      <c r="C152" s="135"/>
      <c r="D152" s="135"/>
      <c r="E152" s="135"/>
      <c r="F152" s="79" t="s">
        <v>33</v>
      </c>
      <c r="G152" s="29">
        <f t="shared" ref="G152:O152" si="48">G153+G154</f>
        <v>65150.6</v>
      </c>
      <c r="H152" s="29">
        <f t="shared" si="48"/>
        <v>18500</v>
      </c>
      <c r="I152" s="29">
        <f t="shared" si="48"/>
        <v>0</v>
      </c>
      <c r="J152" s="29">
        <f t="shared" si="48"/>
        <v>9000</v>
      </c>
      <c r="K152" s="29">
        <f t="shared" si="48"/>
        <v>17650.599999999999</v>
      </c>
      <c r="L152" s="29">
        <f t="shared" si="48"/>
        <v>20000</v>
      </c>
      <c r="M152" s="29">
        <f t="shared" si="48"/>
        <v>0</v>
      </c>
      <c r="N152" s="29">
        <f t="shared" si="48"/>
        <v>0</v>
      </c>
      <c r="O152" s="29">
        <f t="shared" si="48"/>
        <v>0</v>
      </c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48"/>
      <c r="AZ152" s="48"/>
    </row>
    <row r="153" spans="1:52" s="49" customFormat="1" ht="264" customHeight="1" x14ac:dyDescent="0.4">
      <c r="A153" s="136"/>
      <c r="B153" s="105"/>
      <c r="C153" s="136"/>
      <c r="D153" s="136"/>
      <c r="E153" s="136"/>
      <c r="F153" s="79" t="s">
        <v>34</v>
      </c>
      <c r="G153" s="29">
        <f>H153+I153+J153+K153+L153+M153+N153</f>
        <v>65150.6</v>
      </c>
      <c r="H153" s="30">
        <v>18500</v>
      </c>
      <c r="I153" s="29">
        <v>0</v>
      </c>
      <c r="J153" s="29">
        <f>16000-7000</f>
        <v>9000</v>
      </c>
      <c r="K153" s="29">
        <v>17650.599999999999</v>
      </c>
      <c r="L153" s="29">
        <v>20000</v>
      </c>
      <c r="M153" s="29">
        <v>0</v>
      </c>
      <c r="N153" s="29">
        <v>0</v>
      </c>
      <c r="O153" s="29">
        <v>0</v>
      </c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48"/>
      <c r="AZ153" s="48"/>
    </row>
    <row r="154" spans="1:52" s="52" customFormat="1" ht="174" customHeight="1" x14ac:dyDescent="0.4">
      <c r="A154" s="137"/>
      <c r="B154" s="106"/>
      <c r="C154" s="137"/>
      <c r="D154" s="137"/>
      <c r="E154" s="137"/>
      <c r="F154" s="79" t="s">
        <v>35</v>
      </c>
      <c r="G154" s="29">
        <f>H154+I154+J154+K154+L154+M154+N154</f>
        <v>0</v>
      </c>
      <c r="H154" s="30">
        <v>0</v>
      </c>
      <c r="I154" s="29">
        <v>0</v>
      </c>
      <c r="J154" s="29">
        <v>0</v>
      </c>
      <c r="K154" s="29" t="s">
        <v>36</v>
      </c>
      <c r="L154" s="29">
        <v>0</v>
      </c>
      <c r="M154" s="29">
        <v>0</v>
      </c>
      <c r="N154" s="53" t="s">
        <v>36</v>
      </c>
      <c r="O154" s="53" t="s">
        <v>36</v>
      </c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</row>
    <row r="155" spans="1:52" s="52" customFormat="1" ht="118.5" customHeight="1" x14ac:dyDescent="0.4">
      <c r="A155" s="135"/>
      <c r="B155" s="104" t="s">
        <v>85</v>
      </c>
      <c r="C155" s="135"/>
      <c r="D155" s="135"/>
      <c r="E155" s="135"/>
      <c r="F155" s="79" t="s">
        <v>33</v>
      </c>
      <c r="G155" s="29">
        <f t="shared" ref="G155:O155" si="49">G156+G157</f>
        <v>10606220.459999999</v>
      </c>
      <c r="H155" s="29">
        <f t="shared" si="49"/>
        <v>1312943.1300000001</v>
      </c>
      <c r="I155" s="29">
        <f t="shared" si="49"/>
        <v>1348566.38</v>
      </c>
      <c r="J155" s="29">
        <f t="shared" si="49"/>
        <v>1538201.55</v>
      </c>
      <c r="K155" s="29">
        <f t="shared" si="49"/>
        <v>1627620.38</v>
      </c>
      <c r="L155" s="29">
        <f t="shared" si="49"/>
        <v>1924385.0199999998</v>
      </c>
      <c r="M155" s="29">
        <f t="shared" si="49"/>
        <v>1667080</v>
      </c>
      <c r="N155" s="29">
        <f t="shared" si="49"/>
        <v>1187424</v>
      </c>
      <c r="O155" s="29">
        <f t="shared" si="49"/>
        <v>1187424</v>
      </c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  <c r="AZ155" s="51"/>
    </row>
    <row r="156" spans="1:52" s="52" customFormat="1" ht="253.5" customHeight="1" x14ac:dyDescent="0.4">
      <c r="A156" s="136"/>
      <c r="B156" s="105"/>
      <c r="C156" s="136"/>
      <c r="D156" s="136"/>
      <c r="E156" s="136"/>
      <c r="F156" s="79" t="s">
        <v>34</v>
      </c>
      <c r="G156" s="29">
        <f>H156+I156+J156+K156+L156+M156+N156</f>
        <v>7704671.7799999993</v>
      </c>
      <c r="H156" s="30">
        <v>1022836.68</v>
      </c>
      <c r="I156" s="29">
        <v>1072110.27</v>
      </c>
      <c r="J156" s="29">
        <f>1195144.08-7720.08</f>
        <v>1187424</v>
      </c>
      <c r="K156" s="29">
        <f>(1854990.2+560207.1)/2-19938.15-72757.02</f>
        <v>1114903.48</v>
      </c>
      <c r="L156" s="29">
        <f>603714+573414.44-87954.3+41219.21</f>
        <v>1130393.3499999999</v>
      </c>
      <c r="M156" s="29">
        <f>912000+275424-197844</f>
        <v>989580</v>
      </c>
      <c r="N156" s="29">
        <f>912000+275424</f>
        <v>1187424</v>
      </c>
      <c r="O156" s="29">
        <f>912000+275424</f>
        <v>1187424</v>
      </c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</row>
    <row r="157" spans="1:52" s="52" customFormat="1" ht="216" customHeight="1" x14ac:dyDescent="0.4">
      <c r="A157" s="137"/>
      <c r="B157" s="106"/>
      <c r="C157" s="137"/>
      <c r="D157" s="137"/>
      <c r="E157" s="137"/>
      <c r="F157" s="79" t="s">
        <v>35</v>
      </c>
      <c r="G157" s="29">
        <f>H157+I157+J157+K157+L157+M157+N157</f>
        <v>2901548.68</v>
      </c>
      <c r="H157" s="30">
        <v>290106.45</v>
      </c>
      <c r="I157" s="29">
        <v>276456.11</v>
      </c>
      <c r="J157" s="29">
        <f>333103.68+17673.87</f>
        <v>350777.55</v>
      </c>
      <c r="K157" s="29">
        <f>1025433.8/2</f>
        <v>512716.9</v>
      </c>
      <c r="L157" s="29">
        <f>320273.23+319042.5+125000+29675.94</f>
        <v>793991.66999999993</v>
      </c>
      <c r="M157" s="29">
        <v>677500</v>
      </c>
      <c r="N157" s="53" t="s">
        <v>36</v>
      </c>
      <c r="O157" s="53" t="s">
        <v>36</v>
      </c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</row>
    <row r="158" spans="1:52" s="52" customFormat="1" ht="145.5" customHeight="1" x14ac:dyDescent="0.4">
      <c r="A158" s="70"/>
      <c r="B158" s="104" t="s">
        <v>95</v>
      </c>
      <c r="C158" s="135"/>
      <c r="D158" s="135"/>
      <c r="E158" s="135"/>
      <c r="F158" s="79" t="s">
        <v>33</v>
      </c>
      <c r="G158" s="29">
        <f t="shared" ref="G158:O158" si="50">G159+G160</f>
        <v>9418796.4550000001</v>
      </c>
      <c r="H158" s="29">
        <f t="shared" si="50"/>
        <v>1312943.1300000001</v>
      </c>
      <c r="I158" s="29">
        <f t="shared" si="50"/>
        <v>1348566.38</v>
      </c>
      <c r="J158" s="29">
        <f t="shared" si="50"/>
        <v>1538201.5449999999</v>
      </c>
      <c r="K158" s="29">
        <f t="shared" si="50"/>
        <v>1627620.38</v>
      </c>
      <c r="L158" s="29">
        <f t="shared" si="50"/>
        <v>1924385.0199999998</v>
      </c>
      <c r="M158" s="29">
        <f t="shared" si="50"/>
        <v>1667080</v>
      </c>
      <c r="N158" s="29">
        <f t="shared" si="50"/>
        <v>0</v>
      </c>
      <c r="O158" s="29">
        <f t="shared" si="50"/>
        <v>0</v>
      </c>
      <c r="P158" s="104" t="s">
        <v>116</v>
      </c>
      <c r="Q158" s="104" t="s">
        <v>61</v>
      </c>
      <c r="R158" s="104"/>
      <c r="S158" s="104">
        <v>78.78</v>
      </c>
      <c r="T158" s="104">
        <v>77.349999999999994</v>
      </c>
      <c r="U158" s="104">
        <v>75.5</v>
      </c>
      <c r="V158" s="104">
        <v>77.56</v>
      </c>
      <c r="W158" s="104">
        <v>78.03</v>
      </c>
      <c r="X158" s="104">
        <v>72.75</v>
      </c>
      <c r="Y158" s="104">
        <v>72.75</v>
      </c>
      <c r="Z158" s="104">
        <v>72.75</v>
      </c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</row>
    <row r="159" spans="1:52" s="52" customFormat="1" ht="256.5" customHeight="1" x14ac:dyDescent="0.4">
      <c r="A159" s="70"/>
      <c r="B159" s="105"/>
      <c r="C159" s="136"/>
      <c r="D159" s="136"/>
      <c r="E159" s="136"/>
      <c r="F159" s="79" t="s">
        <v>34</v>
      </c>
      <c r="G159" s="29">
        <f>H159+I159+J159+K159+L159+M159+N159</f>
        <v>6517247.7750000004</v>
      </c>
      <c r="H159" s="30">
        <v>1022836.68</v>
      </c>
      <c r="I159" s="29">
        <v>1072110.27</v>
      </c>
      <c r="J159" s="29">
        <f>948916.34+399248.25/2+93207.24/2-0.01-15440.16/2</f>
        <v>1187423.9949999999</v>
      </c>
      <c r="K159" s="29">
        <f>2415197.3/2-19938.15-72757.02</f>
        <v>1114903.48</v>
      </c>
      <c r="L159" s="29">
        <f>1167128.44-77954.3+41219.21</f>
        <v>1130393.3499999999</v>
      </c>
      <c r="M159" s="29">
        <v>989580</v>
      </c>
      <c r="N159" s="29">
        <v>0</v>
      </c>
      <c r="O159" s="29">
        <v>0</v>
      </c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</row>
    <row r="160" spans="1:52" s="52" customFormat="1" ht="195.75" customHeight="1" x14ac:dyDescent="0.4">
      <c r="A160" s="70"/>
      <c r="B160" s="106"/>
      <c r="C160" s="137"/>
      <c r="D160" s="137"/>
      <c r="E160" s="137"/>
      <c r="F160" s="79" t="s">
        <v>35</v>
      </c>
      <c r="G160" s="29">
        <f>H160+I160+J160+K160+L160+M160+N160</f>
        <v>2901548.68</v>
      </c>
      <c r="H160" s="30">
        <v>290106.45</v>
      </c>
      <c r="I160" s="29">
        <v>276456.11</v>
      </c>
      <c r="J160" s="29">
        <f>333103.68+17673.87</f>
        <v>350777.55</v>
      </c>
      <c r="K160" s="29">
        <f>1025433.8/2</f>
        <v>512716.9</v>
      </c>
      <c r="L160" s="29">
        <f>320273.23+319042.5+125000+29675.94</f>
        <v>793991.66999999993</v>
      </c>
      <c r="M160" s="29">
        <v>677500</v>
      </c>
      <c r="N160" s="53" t="s">
        <v>36</v>
      </c>
      <c r="O160" s="53" t="s">
        <v>36</v>
      </c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</row>
    <row r="161" spans="1:52" s="52" customFormat="1" ht="130.5" customHeight="1" x14ac:dyDescent="0.4">
      <c r="A161" s="135"/>
      <c r="B161" s="104" t="s">
        <v>86</v>
      </c>
      <c r="C161" s="135"/>
      <c r="D161" s="135"/>
      <c r="E161" s="135"/>
      <c r="F161" s="79" t="s">
        <v>33</v>
      </c>
      <c r="G161" s="29">
        <f t="shared" ref="G161:O161" si="51">G162+G163</f>
        <v>0</v>
      </c>
      <c r="H161" s="29">
        <f t="shared" si="51"/>
        <v>0</v>
      </c>
      <c r="I161" s="29">
        <f t="shared" si="51"/>
        <v>0</v>
      </c>
      <c r="J161" s="29">
        <f t="shared" si="51"/>
        <v>0</v>
      </c>
      <c r="K161" s="29">
        <f t="shared" si="51"/>
        <v>0</v>
      </c>
      <c r="L161" s="29">
        <f t="shared" si="51"/>
        <v>0</v>
      </c>
      <c r="M161" s="29">
        <f t="shared" si="51"/>
        <v>0</v>
      </c>
      <c r="N161" s="29">
        <f t="shared" si="51"/>
        <v>0</v>
      </c>
      <c r="O161" s="29">
        <f t="shared" si="51"/>
        <v>0</v>
      </c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</row>
    <row r="162" spans="1:52" s="52" customFormat="1" ht="237" customHeight="1" x14ac:dyDescent="0.4">
      <c r="A162" s="136"/>
      <c r="B162" s="105"/>
      <c r="C162" s="136"/>
      <c r="D162" s="136"/>
      <c r="E162" s="136"/>
      <c r="F162" s="79" t="s">
        <v>34</v>
      </c>
      <c r="G162" s="29">
        <f>H162+I162+J162+K162+L162+M162+N162</f>
        <v>0</v>
      </c>
      <c r="H162" s="30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  <c r="N162" s="53">
        <v>0</v>
      </c>
      <c r="O162" s="53">
        <v>0</v>
      </c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  <c r="AM162" s="51"/>
      <c r="AN162" s="51"/>
      <c r="AO162" s="51"/>
      <c r="AP162" s="51"/>
      <c r="AQ162" s="51"/>
      <c r="AR162" s="51"/>
      <c r="AS162" s="51"/>
      <c r="AT162" s="51"/>
      <c r="AU162" s="51"/>
      <c r="AV162" s="51"/>
      <c r="AW162" s="51"/>
      <c r="AX162" s="51"/>
      <c r="AY162" s="51"/>
      <c r="AZ162" s="51"/>
    </row>
    <row r="163" spans="1:52" s="52" customFormat="1" ht="174" customHeight="1" x14ac:dyDescent="0.4">
      <c r="A163" s="137"/>
      <c r="B163" s="106"/>
      <c r="C163" s="137"/>
      <c r="D163" s="137"/>
      <c r="E163" s="137"/>
      <c r="F163" s="79" t="s">
        <v>35</v>
      </c>
      <c r="G163" s="29">
        <f>H163+I163+J163+K163+L163+M163+N163</f>
        <v>0</v>
      </c>
      <c r="H163" s="30">
        <v>0</v>
      </c>
      <c r="I163" s="29">
        <v>0</v>
      </c>
      <c r="J163" s="29">
        <v>0</v>
      </c>
      <c r="K163" s="29" t="s">
        <v>36</v>
      </c>
      <c r="L163" s="29">
        <v>0</v>
      </c>
      <c r="M163" s="29">
        <v>0</v>
      </c>
      <c r="N163" s="29" t="s">
        <v>36</v>
      </c>
      <c r="O163" s="29" t="s">
        <v>36</v>
      </c>
      <c r="P163" s="54"/>
      <c r="Q163" s="54"/>
      <c r="R163" s="54"/>
      <c r="S163" s="54"/>
      <c r="T163" s="50"/>
      <c r="U163" s="50"/>
      <c r="V163" s="50"/>
      <c r="W163" s="50"/>
      <c r="X163" s="50"/>
      <c r="Y163" s="50"/>
      <c r="Z163" s="50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51"/>
      <c r="AY163" s="51"/>
      <c r="AZ163" s="51"/>
    </row>
    <row r="164" spans="1:52" s="52" customFormat="1" ht="135" customHeight="1" x14ac:dyDescent="0.4">
      <c r="A164" s="135"/>
      <c r="B164" s="104" t="s">
        <v>87</v>
      </c>
      <c r="C164" s="135"/>
      <c r="D164" s="135"/>
      <c r="E164" s="135"/>
      <c r="F164" s="79" t="s">
        <v>33</v>
      </c>
      <c r="G164" s="29">
        <f t="shared" ref="G164:O164" si="52">G165+G166</f>
        <v>0</v>
      </c>
      <c r="H164" s="29">
        <f t="shared" si="52"/>
        <v>0</v>
      </c>
      <c r="I164" s="29">
        <f t="shared" si="52"/>
        <v>0</v>
      </c>
      <c r="J164" s="29">
        <f t="shared" si="52"/>
        <v>0</v>
      </c>
      <c r="K164" s="29">
        <f t="shared" si="52"/>
        <v>0</v>
      </c>
      <c r="L164" s="29">
        <f t="shared" si="52"/>
        <v>0</v>
      </c>
      <c r="M164" s="29">
        <f t="shared" si="52"/>
        <v>0</v>
      </c>
      <c r="N164" s="29">
        <f t="shared" si="52"/>
        <v>0</v>
      </c>
      <c r="O164" s="29">
        <f t="shared" si="52"/>
        <v>0</v>
      </c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  <c r="AM164" s="51"/>
      <c r="AN164" s="51"/>
      <c r="AO164" s="51"/>
      <c r="AP164" s="51"/>
      <c r="AQ164" s="51"/>
      <c r="AR164" s="51"/>
      <c r="AS164" s="51"/>
      <c r="AT164" s="51"/>
      <c r="AU164" s="51"/>
      <c r="AV164" s="51"/>
      <c r="AW164" s="51"/>
      <c r="AX164" s="51"/>
      <c r="AY164" s="51"/>
      <c r="AZ164" s="51"/>
    </row>
    <row r="165" spans="1:52" s="52" customFormat="1" ht="222" customHeight="1" x14ac:dyDescent="0.4">
      <c r="A165" s="136"/>
      <c r="B165" s="105"/>
      <c r="C165" s="136"/>
      <c r="D165" s="136"/>
      <c r="E165" s="136"/>
      <c r="F165" s="79" t="s">
        <v>34</v>
      </c>
      <c r="G165" s="29">
        <f>H165+I165+J165+K165+L165+M165+N165</f>
        <v>0</v>
      </c>
      <c r="H165" s="30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53">
        <v>0</v>
      </c>
      <c r="O165" s="53">
        <v>0</v>
      </c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  <c r="AM165" s="51"/>
      <c r="AN165" s="51"/>
      <c r="AO165" s="51"/>
      <c r="AP165" s="51"/>
      <c r="AQ165" s="51"/>
      <c r="AR165" s="51"/>
      <c r="AS165" s="51"/>
      <c r="AT165" s="51"/>
      <c r="AU165" s="51"/>
      <c r="AV165" s="51"/>
      <c r="AW165" s="51"/>
      <c r="AX165" s="51"/>
      <c r="AY165" s="51"/>
      <c r="AZ165" s="51"/>
    </row>
    <row r="166" spans="1:52" s="52" customFormat="1" ht="198" customHeight="1" x14ac:dyDescent="0.4">
      <c r="A166" s="137"/>
      <c r="B166" s="106"/>
      <c r="C166" s="137"/>
      <c r="D166" s="137"/>
      <c r="E166" s="137"/>
      <c r="F166" s="79" t="s">
        <v>35</v>
      </c>
      <c r="G166" s="29">
        <f>H166+I166+J166+K166+L166+M166+N166</f>
        <v>0</v>
      </c>
      <c r="H166" s="30">
        <v>0</v>
      </c>
      <c r="I166" s="29">
        <v>0</v>
      </c>
      <c r="J166" s="29">
        <v>0</v>
      </c>
      <c r="K166" s="29" t="s">
        <v>36</v>
      </c>
      <c r="L166" s="29">
        <v>0</v>
      </c>
      <c r="M166" s="29">
        <v>0</v>
      </c>
      <c r="N166" s="29" t="s">
        <v>36</v>
      </c>
      <c r="O166" s="29" t="s">
        <v>36</v>
      </c>
      <c r="P166" s="54"/>
      <c r="Q166" s="54"/>
      <c r="R166" s="54"/>
      <c r="S166" s="54"/>
      <c r="T166" s="50"/>
      <c r="U166" s="50"/>
      <c r="V166" s="50"/>
      <c r="W166" s="50"/>
      <c r="X166" s="50"/>
      <c r="Y166" s="50"/>
      <c r="Z166" s="50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51"/>
      <c r="AV166" s="51"/>
      <c r="AW166" s="51"/>
      <c r="AX166" s="51"/>
      <c r="AY166" s="51"/>
      <c r="AZ166" s="51"/>
    </row>
    <row r="167" spans="1:52" s="22" customFormat="1" ht="409.5" customHeight="1" x14ac:dyDescent="0.4">
      <c r="A167" s="78"/>
      <c r="B167" s="79" t="s">
        <v>43</v>
      </c>
      <c r="C167" s="24">
        <v>2019</v>
      </c>
      <c r="D167" s="24">
        <v>2026</v>
      </c>
      <c r="E167" s="79" t="s">
        <v>89</v>
      </c>
      <c r="F167" s="79" t="s">
        <v>32</v>
      </c>
      <c r="G167" s="29" t="s">
        <v>32</v>
      </c>
      <c r="H167" s="30" t="s">
        <v>32</v>
      </c>
      <c r="I167" s="29" t="s">
        <v>32</v>
      </c>
      <c r="J167" s="29" t="s">
        <v>32</v>
      </c>
      <c r="K167" s="29" t="s">
        <v>32</v>
      </c>
      <c r="L167" s="29" t="s">
        <v>32</v>
      </c>
      <c r="M167" s="29" t="s">
        <v>32</v>
      </c>
      <c r="N167" s="29" t="s">
        <v>32</v>
      </c>
      <c r="O167" s="29" t="s">
        <v>32</v>
      </c>
      <c r="P167" s="79" t="s">
        <v>32</v>
      </c>
      <c r="Q167" s="79" t="s">
        <v>32</v>
      </c>
      <c r="R167" s="79" t="s">
        <v>32</v>
      </c>
      <c r="S167" s="79" t="s">
        <v>32</v>
      </c>
      <c r="T167" s="79" t="s">
        <v>32</v>
      </c>
      <c r="U167" s="79" t="s">
        <v>32</v>
      </c>
      <c r="V167" s="79" t="s">
        <v>32</v>
      </c>
      <c r="W167" s="79" t="s">
        <v>32</v>
      </c>
      <c r="X167" s="79" t="s">
        <v>32</v>
      </c>
      <c r="Y167" s="84" t="s">
        <v>32</v>
      </c>
      <c r="Z167" s="84" t="s">
        <v>32</v>
      </c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</row>
    <row r="168" spans="1:52" s="22" customFormat="1" ht="156" customHeight="1" x14ac:dyDescent="0.4">
      <c r="A168" s="118"/>
      <c r="B168" s="145" t="s">
        <v>39</v>
      </c>
      <c r="C168" s="135"/>
      <c r="D168" s="135"/>
      <c r="E168" s="135"/>
      <c r="F168" s="79" t="s">
        <v>33</v>
      </c>
      <c r="G168" s="29">
        <f t="shared" ref="G168:O168" si="53">G169+G170</f>
        <v>94457532.100000009</v>
      </c>
      <c r="H168" s="29">
        <f t="shared" si="53"/>
        <v>11863418.289999999</v>
      </c>
      <c r="I168" s="29">
        <f t="shared" si="53"/>
        <v>15162450.850000001</v>
      </c>
      <c r="J168" s="29">
        <f t="shared" si="53"/>
        <v>13700489.980000002</v>
      </c>
      <c r="K168" s="29">
        <f t="shared" si="53"/>
        <v>14050424.17</v>
      </c>
      <c r="L168" s="29">
        <f t="shared" si="53"/>
        <v>15146144.039999999</v>
      </c>
      <c r="M168" s="29">
        <f t="shared" si="53"/>
        <v>13765290.469999999</v>
      </c>
      <c r="N168" s="29">
        <f t="shared" si="53"/>
        <v>10769314.300000001</v>
      </c>
      <c r="O168" s="29">
        <f t="shared" si="53"/>
        <v>10769314.300000001</v>
      </c>
      <c r="P168" s="104" t="s">
        <v>64</v>
      </c>
      <c r="Q168" s="104" t="s">
        <v>61</v>
      </c>
      <c r="R168" s="104" t="s">
        <v>11</v>
      </c>
      <c r="S168" s="104">
        <v>7.4</v>
      </c>
      <c r="T168" s="104">
        <v>7.5</v>
      </c>
      <c r="U168" s="104">
        <v>7.6</v>
      </c>
      <c r="V168" s="104">
        <v>7.7</v>
      </c>
      <c r="W168" s="104">
        <v>7.8</v>
      </c>
      <c r="X168" s="104">
        <v>7.9</v>
      </c>
      <c r="Y168" s="133">
        <v>8</v>
      </c>
      <c r="Z168" s="133">
        <v>8</v>
      </c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</row>
    <row r="169" spans="1:52" s="22" customFormat="1" ht="265.5" customHeight="1" x14ac:dyDescent="0.4">
      <c r="A169" s="118"/>
      <c r="B169" s="146"/>
      <c r="C169" s="136"/>
      <c r="D169" s="136"/>
      <c r="E169" s="136"/>
      <c r="F169" s="79" t="s">
        <v>34</v>
      </c>
      <c r="G169" s="29">
        <f>SUM(H169:N169)</f>
        <v>68235540.730000004</v>
      </c>
      <c r="H169" s="29">
        <f>H172+H175+H178+H181+H190+H193</f>
        <v>9789958.2899999991</v>
      </c>
      <c r="I169" s="29">
        <f>I172+I175+I178+I181+I190+I193+I196</f>
        <v>9962878.4800000004</v>
      </c>
      <c r="J169" s="29">
        <f t="shared" ref="J169:O170" si="54">J172+J175+J178+J181+J190+J193</f>
        <v>9742341.9800000023</v>
      </c>
      <c r="K169" s="29">
        <f t="shared" si="54"/>
        <v>9469562.1699999999</v>
      </c>
      <c r="L169" s="29">
        <f t="shared" si="54"/>
        <v>9438060.0399999991</v>
      </c>
      <c r="M169" s="29">
        <f t="shared" si="54"/>
        <v>9063425.4699999988</v>
      </c>
      <c r="N169" s="29">
        <f t="shared" si="54"/>
        <v>10769314.300000001</v>
      </c>
      <c r="O169" s="29">
        <f t="shared" si="54"/>
        <v>10769314.300000001</v>
      </c>
      <c r="P169" s="105"/>
      <c r="Q169" s="105"/>
      <c r="R169" s="105"/>
      <c r="S169" s="105"/>
      <c r="T169" s="105"/>
      <c r="U169" s="105"/>
      <c r="V169" s="105"/>
      <c r="W169" s="105"/>
      <c r="X169" s="105"/>
      <c r="Y169" s="134"/>
      <c r="Z169" s="134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</row>
    <row r="170" spans="1:52" s="22" customFormat="1" ht="205.5" customHeight="1" x14ac:dyDescent="0.4">
      <c r="A170" s="118"/>
      <c r="B170" s="147"/>
      <c r="C170" s="137"/>
      <c r="D170" s="137"/>
      <c r="E170" s="137"/>
      <c r="F170" s="79" t="s">
        <v>35</v>
      </c>
      <c r="G170" s="29">
        <f>SUM(H170:N170)</f>
        <v>26221991.370000001</v>
      </c>
      <c r="H170" s="29">
        <f>H173+H176+H179+H182+H191+H194</f>
        <v>2073460</v>
      </c>
      <c r="I170" s="29">
        <f>I173+I176+I179+I182+I191+I194+I197</f>
        <v>5199572.37</v>
      </c>
      <c r="J170" s="29">
        <f t="shared" si="54"/>
        <v>3958148</v>
      </c>
      <c r="K170" s="29">
        <f t="shared" si="54"/>
        <v>4580862</v>
      </c>
      <c r="L170" s="29">
        <f t="shared" si="54"/>
        <v>5708084</v>
      </c>
      <c r="M170" s="29">
        <f t="shared" si="54"/>
        <v>4701865</v>
      </c>
      <c r="N170" s="29">
        <f t="shared" si="54"/>
        <v>0</v>
      </c>
      <c r="O170" s="29">
        <f t="shared" si="54"/>
        <v>0</v>
      </c>
      <c r="P170" s="106"/>
      <c r="Q170" s="106"/>
      <c r="R170" s="106"/>
      <c r="S170" s="106"/>
      <c r="T170" s="106"/>
      <c r="U170" s="106"/>
      <c r="V170" s="106"/>
      <c r="W170" s="106"/>
      <c r="X170" s="106"/>
      <c r="Y170" s="120"/>
      <c r="Z170" s="120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</row>
    <row r="171" spans="1:52" s="22" customFormat="1" ht="78.75" x14ac:dyDescent="0.4">
      <c r="A171" s="118"/>
      <c r="B171" s="104" t="s">
        <v>72</v>
      </c>
      <c r="C171" s="135"/>
      <c r="D171" s="135"/>
      <c r="E171" s="135"/>
      <c r="F171" s="79" t="s">
        <v>33</v>
      </c>
      <c r="G171" s="29">
        <f t="shared" ref="G171:O171" si="55">G172+G173</f>
        <v>20000</v>
      </c>
      <c r="H171" s="29">
        <f t="shared" si="55"/>
        <v>20000</v>
      </c>
      <c r="I171" s="29">
        <f t="shared" si="55"/>
        <v>0</v>
      </c>
      <c r="J171" s="29">
        <f t="shared" si="55"/>
        <v>0</v>
      </c>
      <c r="K171" s="29">
        <f t="shared" si="55"/>
        <v>0</v>
      </c>
      <c r="L171" s="29">
        <f t="shared" si="55"/>
        <v>0</v>
      </c>
      <c r="M171" s="29">
        <f t="shared" si="55"/>
        <v>0</v>
      </c>
      <c r="N171" s="29">
        <f t="shared" si="55"/>
        <v>0</v>
      </c>
      <c r="O171" s="29">
        <f t="shared" si="55"/>
        <v>0</v>
      </c>
      <c r="P171" s="104" t="s">
        <v>2</v>
      </c>
      <c r="Q171" s="104" t="s">
        <v>3</v>
      </c>
      <c r="R171" s="104" t="s">
        <v>9</v>
      </c>
      <c r="S171" s="104" t="s">
        <v>3</v>
      </c>
      <c r="T171" s="104" t="s">
        <v>5</v>
      </c>
      <c r="U171" s="104" t="s">
        <v>2</v>
      </c>
      <c r="V171" s="104" t="s">
        <v>10</v>
      </c>
      <c r="W171" s="104" t="s">
        <v>3</v>
      </c>
      <c r="X171" s="104" t="s">
        <v>5</v>
      </c>
      <c r="Y171" s="133" t="s">
        <v>2</v>
      </c>
      <c r="Z171" s="133" t="s">
        <v>2</v>
      </c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</row>
    <row r="172" spans="1:52" s="22" customFormat="1" ht="228" customHeight="1" x14ac:dyDescent="0.4">
      <c r="A172" s="118"/>
      <c r="B172" s="105"/>
      <c r="C172" s="136"/>
      <c r="D172" s="136"/>
      <c r="E172" s="136"/>
      <c r="F172" s="79" t="s">
        <v>34</v>
      </c>
      <c r="G172" s="29">
        <f>H172+I172+J172+K172+L172+M172+N172</f>
        <v>20000</v>
      </c>
      <c r="H172" s="30">
        <v>20000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105"/>
      <c r="Q172" s="105"/>
      <c r="R172" s="105"/>
      <c r="S172" s="105"/>
      <c r="T172" s="105"/>
      <c r="U172" s="105"/>
      <c r="V172" s="105"/>
      <c r="W172" s="105"/>
      <c r="X172" s="105"/>
      <c r="Y172" s="134"/>
      <c r="Z172" s="134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</row>
    <row r="173" spans="1:52" s="22" customFormat="1" ht="174" customHeight="1" x14ac:dyDescent="0.4">
      <c r="A173" s="118"/>
      <c r="B173" s="106"/>
      <c r="C173" s="137"/>
      <c r="D173" s="137"/>
      <c r="E173" s="137"/>
      <c r="F173" s="79" t="s">
        <v>35</v>
      </c>
      <c r="G173" s="29">
        <f>H173+I173+J173+K173+L173+M173+N173</f>
        <v>0</v>
      </c>
      <c r="H173" s="30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 t="s">
        <v>36</v>
      </c>
      <c r="O173" s="29" t="s">
        <v>36</v>
      </c>
      <c r="P173" s="106"/>
      <c r="Q173" s="106"/>
      <c r="R173" s="106"/>
      <c r="S173" s="106"/>
      <c r="T173" s="106"/>
      <c r="U173" s="106"/>
      <c r="V173" s="106"/>
      <c r="W173" s="106"/>
      <c r="X173" s="106"/>
      <c r="Y173" s="120"/>
      <c r="Z173" s="120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</row>
    <row r="174" spans="1:52" s="22" customFormat="1" ht="111" customHeight="1" x14ac:dyDescent="0.4">
      <c r="A174" s="118"/>
      <c r="B174" s="104" t="s">
        <v>73</v>
      </c>
      <c r="C174" s="135"/>
      <c r="D174" s="135"/>
      <c r="E174" s="135"/>
      <c r="F174" s="79" t="s">
        <v>33</v>
      </c>
      <c r="G174" s="29">
        <f>G175+G176</f>
        <v>54000</v>
      </c>
      <c r="H174" s="29">
        <f>H175+H176</f>
        <v>9000</v>
      </c>
      <c r="I174" s="29">
        <f>I175+I176</f>
        <v>9000</v>
      </c>
      <c r="J174" s="29">
        <v>9000</v>
      </c>
      <c r="K174" s="29">
        <f>K175+K176</f>
        <v>9000</v>
      </c>
      <c r="L174" s="29">
        <f>L175+L176</f>
        <v>9000</v>
      </c>
      <c r="M174" s="29">
        <f>M175+M176</f>
        <v>9000</v>
      </c>
      <c r="N174" s="29">
        <f>N175+N176</f>
        <v>0</v>
      </c>
      <c r="O174" s="29">
        <f>O175+O176</f>
        <v>0</v>
      </c>
      <c r="P174" s="104" t="s">
        <v>2</v>
      </c>
      <c r="Q174" s="104" t="s">
        <v>3</v>
      </c>
      <c r="R174" s="104" t="s">
        <v>9</v>
      </c>
      <c r="S174" s="104" t="s">
        <v>3</v>
      </c>
      <c r="T174" s="104" t="s">
        <v>5</v>
      </c>
      <c r="U174" s="104" t="s">
        <v>2</v>
      </c>
      <c r="V174" s="104" t="s">
        <v>10</v>
      </c>
      <c r="W174" s="104" t="s">
        <v>3</v>
      </c>
      <c r="X174" s="104" t="s">
        <v>5</v>
      </c>
      <c r="Y174" s="133" t="s">
        <v>2</v>
      </c>
      <c r="Z174" s="133" t="s">
        <v>2</v>
      </c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</row>
    <row r="175" spans="1:52" s="22" customFormat="1" ht="219" customHeight="1" x14ac:dyDescent="0.4">
      <c r="A175" s="118"/>
      <c r="B175" s="105"/>
      <c r="C175" s="136"/>
      <c r="D175" s="136"/>
      <c r="E175" s="136"/>
      <c r="F175" s="79" t="s">
        <v>34</v>
      </c>
      <c r="G175" s="29">
        <f>H175+I175+J175+K175+L175+M175+N175</f>
        <v>54000</v>
      </c>
      <c r="H175" s="30">
        <v>9000</v>
      </c>
      <c r="I175" s="29">
        <v>9000</v>
      </c>
      <c r="J175" s="29">
        <v>9000</v>
      </c>
      <c r="K175" s="29">
        <v>9000</v>
      </c>
      <c r="L175" s="29">
        <v>9000</v>
      </c>
      <c r="M175" s="29">
        <v>9000</v>
      </c>
      <c r="N175" s="29">
        <v>0</v>
      </c>
      <c r="O175" s="29">
        <v>0</v>
      </c>
      <c r="P175" s="105"/>
      <c r="Q175" s="105"/>
      <c r="R175" s="105"/>
      <c r="S175" s="105"/>
      <c r="T175" s="105"/>
      <c r="U175" s="105"/>
      <c r="V175" s="105"/>
      <c r="W175" s="105"/>
      <c r="X175" s="105"/>
      <c r="Y175" s="134"/>
      <c r="Z175" s="134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</row>
    <row r="176" spans="1:52" s="22" customFormat="1" ht="174" customHeight="1" x14ac:dyDescent="0.4">
      <c r="A176" s="118"/>
      <c r="B176" s="106"/>
      <c r="C176" s="137"/>
      <c r="D176" s="137"/>
      <c r="E176" s="137"/>
      <c r="F176" s="79" t="s">
        <v>35</v>
      </c>
      <c r="G176" s="29">
        <f>H176+I176+J176+K176+L176+M176+N176</f>
        <v>0</v>
      </c>
      <c r="H176" s="30" t="s">
        <v>36</v>
      </c>
      <c r="I176" s="29" t="s">
        <v>36</v>
      </c>
      <c r="J176" s="29" t="s">
        <v>36</v>
      </c>
      <c r="K176" s="29" t="s">
        <v>36</v>
      </c>
      <c r="L176" s="29" t="s">
        <v>36</v>
      </c>
      <c r="M176" s="29" t="s">
        <v>36</v>
      </c>
      <c r="N176" s="29" t="s">
        <v>36</v>
      </c>
      <c r="O176" s="29" t="s">
        <v>36</v>
      </c>
      <c r="P176" s="106"/>
      <c r="Q176" s="106"/>
      <c r="R176" s="106"/>
      <c r="S176" s="106"/>
      <c r="T176" s="106"/>
      <c r="U176" s="106"/>
      <c r="V176" s="106"/>
      <c r="W176" s="106"/>
      <c r="X176" s="106"/>
      <c r="Y176" s="120"/>
      <c r="Z176" s="120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</row>
    <row r="177" spans="1:52" s="22" customFormat="1" ht="123" customHeight="1" x14ac:dyDescent="0.4">
      <c r="A177" s="135"/>
      <c r="B177" s="104" t="s">
        <v>74</v>
      </c>
      <c r="C177" s="135"/>
      <c r="D177" s="135"/>
      <c r="E177" s="135"/>
      <c r="F177" s="79" t="s">
        <v>33</v>
      </c>
      <c r="G177" s="29">
        <f t="shared" ref="G177:O177" si="56">G178+G179</f>
        <v>0</v>
      </c>
      <c r="H177" s="29">
        <f t="shared" si="56"/>
        <v>0</v>
      </c>
      <c r="I177" s="29">
        <f t="shared" si="56"/>
        <v>0</v>
      </c>
      <c r="J177" s="29">
        <f t="shared" si="56"/>
        <v>0</v>
      </c>
      <c r="K177" s="29">
        <f t="shared" si="56"/>
        <v>0</v>
      </c>
      <c r="L177" s="29">
        <f t="shared" si="56"/>
        <v>0</v>
      </c>
      <c r="M177" s="29">
        <f t="shared" si="56"/>
        <v>0</v>
      </c>
      <c r="N177" s="29">
        <f t="shared" si="56"/>
        <v>0</v>
      </c>
      <c r="O177" s="29">
        <f t="shared" si="56"/>
        <v>0</v>
      </c>
      <c r="P177" s="104" t="s">
        <v>2</v>
      </c>
      <c r="Q177" s="104" t="s">
        <v>3</v>
      </c>
      <c r="R177" s="104" t="s">
        <v>9</v>
      </c>
      <c r="S177" s="104" t="s">
        <v>3</v>
      </c>
      <c r="T177" s="104" t="s">
        <v>5</v>
      </c>
      <c r="U177" s="104" t="s">
        <v>2</v>
      </c>
      <c r="V177" s="104" t="s">
        <v>10</v>
      </c>
      <c r="W177" s="104" t="s">
        <v>3</v>
      </c>
      <c r="X177" s="104" t="s">
        <v>5</v>
      </c>
      <c r="Y177" s="133" t="s">
        <v>2</v>
      </c>
      <c r="Z177" s="133" t="s">
        <v>2</v>
      </c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</row>
    <row r="178" spans="1:52" s="22" customFormat="1" ht="219" customHeight="1" x14ac:dyDescent="0.4">
      <c r="A178" s="136"/>
      <c r="B178" s="105"/>
      <c r="C178" s="136"/>
      <c r="D178" s="136"/>
      <c r="E178" s="136"/>
      <c r="F178" s="79" t="s">
        <v>34</v>
      </c>
      <c r="G178" s="29">
        <f>H178+I178+J178+K178+L178+M178+N178</f>
        <v>0</v>
      </c>
      <c r="H178" s="30">
        <v>0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  <c r="N178" s="29">
        <v>0</v>
      </c>
      <c r="O178" s="29">
        <v>0</v>
      </c>
      <c r="P178" s="105"/>
      <c r="Q178" s="105"/>
      <c r="R178" s="105"/>
      <c r="S178" s="105"/>
      <c r="T178" s="105"/>
      <c r="U178" s="105"/>
      <c r="V178" s="105"/>
      <c r="W178" s="105"/>
      <c r="X178" s="105"/>
      <c r="Y178" s="134"/>
      <c r="Z178" s="134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</row>
    <row r="179" spans="1:52" s="22" customFormat="1" ht="174" customHeight="1" x14ac:dyDescent="0.4">
      <c r="A179" s="137"/>
      <c r="B179" s="106"/>
      <c r="C179" s="137"/>
      <c r="D179" s="137"/>
      <c r="E179" s="137"/>
      <c r="F179" s="79" t="s">
        <v>35</v>
      </c>
      <c r="G179" s="29">
        <f>SUM(H179:N179)</f>
        <v>0</v>
      </c>
      <c r="H179" s="30">
        <v>0</v>
      </c>
      <c r="I179" s="29">
        <v>0</v>
      </c>
      <c r="J179" s="29">
        <v>0</v>
      </c>
      <c r="K179" s="29">
        <v>0</v>
      </c>
      <c r="L179" s="29">
        <v>0</v>
      </c>
      <c r="M179" s="29">
        <v>0</v>
      </c>
      <c r="N179" s="29" t="s">
        <v>36</v>
      </c>
      <c r="O179" s="29" t="s">
        <v>36</v>
      </c>
      <c r="P179" s="106"/>
      <c r="Q179" s="106"/>
      <c r="R179" s="106"/>
      <c r="S179" s="106"/>
      <c r="T179" s="106"/>
      <c r="U179" s="106"/>
      <c r="V179" s="106"/>
      <c r="W179" s="106"/>
      <c r="X179" s="106"/>
      <c r="Y179" s="120"/>
      <c r="Z179" s="120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</row>
    <row r="180" spans="1:52" s="22" customFormat="1" ht="118.5" customHeight="1" x14ac:dyDescent="0.4">
      <c r="A180" s="135"/>
      <c r="B180" s="104" t="s">
        <v>77</v>
      </c>
      <c r="C180" s="135"/>
      <c r="D180" s="135"/>
      <c r="E180" s="135"/>
      <c r="F180" s="79" t="s">
        <v>33</v>
      </c>
      <c r="G180" s="29">
        <f t="shared" ref="G180:O180" si="57">G181+G182</f>
        <v>91706073.480000004</v>
      </c>
      <c r="H180" s="29">
        <f t="shared" si="57"/>
        <v>11807522.289999999</v>
      </c>
      <c r="I180" s="29">
        <f t="shared" si="57"/>
        <v>12502888.23</v>
      </c>
      <c r="J180" s="29">
        <f t="shared" si="57"/>
        <v>13691489.980000002</v>
      </c>
      <c r="K180" s="29">
        <f t="shared" si="57"/>
        <v>14041424.17</v>
      </c>
      <c r="L180" s="29">
        <f t="shared" si="57"/>
        <v>15137144.039999999</v>
      </c>
      <c r="M180" s="29">
        <f t="shared" si="57"/>
        <v>13756290.469999999</v>
      </c>
      <c r="N180" s="29">
        <f t="shared" si="57"/>
        <v>10769314.300000001</v>
      </c>
      <c r="O180" s="29">
        <f t="shared" si="57"/>
        <v>10769314.300000001</v>
      </c>
      <c r="P180" s="104" t="s">
        <v>2</v>
      </c>
      <c r="Q180" s="104" t="s">
        <v>3</v>
      </c>
      <c r="R180" s="104" t="s">
        <v>9</v>
      </c>
      <c r="S180" s="104" t="s">
        <v>3</v>
      </c>
      <c r="T180" s="104" t="s">
        <v>5</v>
      </c>
      <c r="U180" s="104" t="s">
        <v>2</v>
      </c>
      <c r="V180" s="104" t="s">
        <v>10</v>
      </c>
      <c r="W180" s="104" t="s">
        <v>3</v>
      </c>
      <c r="X180" s="104" t="s">
        <v>5</v>
      </c>
      <c r="Y180" s="133" t="s">
        <v>2</v>
      </c>
      <c r="Z180" s="133" t="s">
        <v>2</v>
      </c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</row>
    <row r="181" spans="1:52" s="22" customFormat="1" ht="261" customHeight="1" x14ac:dyDescent="0.4">
      <c r="A181" s="136"/>
      <c r="B181" s="105"/>
      <c r="C181" s="136"/>
      <c r="D181" s="136"/>
      <c r="E181" s="136"/>
      <c r="F181" s="79" t="s">
        <v>34</v>
      </c>
      <c r="G181" s="29">
        <f>H181+I181+J181+K181+L181+M181+N181</f>
        <v>68081633.480000004</v>
      </c>
      <c r="H181" s="30">
        <v>9734062.2899999991</v>
      </c>
      <c r="I181" s="29">
        <f>8019174.2+518127.97+524471.23+168628.45+193246.38+36229+99500+99800+201690+40000</f>
        <v>9900867.2300000004</v>
      </c>
      <c r="J181" s="29">
        <f>9677475.56+18000+7500-7500+13000+3376+40000+6000-12754.79-11754.79</f>
        <v>9733341.9800000023</v>
      </c>
      <c r="K181" s="29">
        <f>7257246.4+443474.16+2191688.4+133929.2+4530+18000+112+895-687.4-207.6-4536.7-1370+191-3828-153377-91847.73+42525.1-376174.66</f>
        <v>9460562.1699999999</v>
      </c>
      <c r="L181" s="29">
        <f>66000+7303080+532223+4530+2205529.59+160731.48+42391.04+9484+50000-40949.59-162050-741909.48</f>
        <v>9429060.0399999991</v>
      </c>
      <c r="M181" s="29">
        <f>7335437.4+631503.6+2215301.7+190714.59+12380+42000-1396911.82+24000</f>
        <v>9054425.4699999988</v>
      </c>
      <c r="N181" s="29">
        <f>7501037.4+738067.2+2265312.9+222896.8+42000</f>
        <v>10769314.300000001</v>
      </c>
      <c r="O181" s="29">
        <f>7501037.4+738067.2+2265312.9+222896.8+42000</f>
        <v>10769314.300000001</v>
      </c>
      <c r="P181" s="105"/>
      <c r="Q181" s="105"/>
      <c r="R181" s="105"/>
      <c r="S181" s="105"/>
      <c r="T181" s="105"/>
      <c r="U181" s="105"/>
      <c r="V181" s="105"/>
      <c r="W181" s="105"/>
      <c r="X181" s="105"/>
      <c r="Y181" s="134"/>
      <c r="Z181" s="134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</row>
    <row r="182" spans="1:52" s="22" customFormat="1" ht="174" customHeight="1" x14ac:dyDescent="0.4">
      <c r="A182" s="137"/>
      <c r="B182" s="106"/>
      <c r="C182" s="137"/>
      <c r="D182" s="137"/>
      <c r="E182" s="137"/>
      <c r="F182" s="79" t="s">
        <v>35</v>
      </c>
      <c r="G182" s="29">
        <f>SUM(H182:N182)</f>
        <v>23624440</v>
      </c>
      <c r="H182" s="30">
        <v>2073460</v>
      </c>
      <c r="I182" s="29">
        <v>2602021</v>
      </c>
      <c r="J182" s="29">
        <f>2602021+1356127</f>
        <v>3958148</v>
      </c>
      <c r="K182" s="29">
        <f>2717362+715097+9324+1139079</f>
        <v>4580862</v>
      </c>
      <c r="L182" s="29">
        <f>2390972+9327+2997835+242239+67711</f>
        <v>5708084</v>
      </c>
      <c r="M182" s="29">
        <f>9327+4692538</f>
        <v>4701865</v>
      </c>
      <c r="N182" s="29" t="s">
        <v>36</v>
      </c>
      <c r="O182" s="29" t="s">
        <v>36</v>
      </c>
      <c r="P182" s="106"/>
      <c r="Q182" s="106"/>
      <c r="R182" s="106"/>
      <c r="S182" s="106"/>
      <c r="T182" s="106"/>
      <c r="U182" s="106"/>
      <c r="V182" s="106"/>
      <c r="W182" s="106"/>
      <c r="X182" s="106"/>
      <c r="Y182" s="120"/>
      <c r="Z182" s="120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</row>
    <row r="183" spans="1:52" s="22" customFormat="1" ht="147.75" customHeight="1" x14ac:dyDescent="0.4">
      <c r="A183" s="135"/>
      <c r="B183" s="104" t="s">
        <v>95</v>
      </c>
      <c r="C183" s="135"/>
      <c r="D183" s="135"/>
      <c r="E183" s="135"/>
      <c r="F183" s="79" t="s">
        <v>33</v>
      </c>
      <c r="G183" s="29">
        <f t="shared" ref="G183:O183" si="58">G184+G185</f>
        <v>71403167.390000001</v>
      </c>
      <c r="H183" s="29">
        <f t="shared" si="58"/>
        <v>10002519.01</v>
      </c>
      <c r="I183" s="29">
        <f t="shared" si="58"/>
        <v>10621195.199999999</v>
      </c>
      <c r="J183" s="29">
        <f t="shared" si="58"/>
        <v>12378281.18</v>
      </c>
      <c r="K183" s="29">
        <f t="shared" si="58"/>
        <v>12801843</v>
      </c>
      <c r="L183" s="29">
        <f t="shared" si="58"/>
        <v>13920389</v>
      </c>
      <c r="M183" s="29">
        <f t="shared" si="58"/>
        <v>11678940</v>
      </c>
      <c r="N183" s="29">
        <f t="shared" si="58"/>
        <v>0</v>
      </c>
      <c r="O183" s="29">
        <f t="shared" si="58"/>
        <v>0</v>
      </c>
      <c r="P183" s="104" t="s">
        <v>117</v>
      </c>
      <c r="Q183" s="104" t="s">
        <v>61</v>
      </c>
      <c r="R183" s="104"/>
      <c r="S183" s="104">
        <v>100</v>
      </c>
      <c r="T183" s="104">
        <v>100</v>
      </c>
      <c r="U183" s="104">
        <v>95</v>
      </c>
      <c r="V183" s="104">
        <v>95.96</v>
      </c>
      <c r="W183" s="104">
        <v>92.9</v>
      </c>
      <c r="X183" s="104">
        <v>87.55</v>
      </c>
      <c r="Y183" s="104">
        <v>87.55</v>
      </c>
      <c r="Z183" s="104">
        <v>87.55</v>
      </c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</row>
    <row r="184" spans="1:52" s="22" customFormat="1" ht="240" customHeight="1" x14ac:dyDescent="0.4">
      <c r="A184" s="136"/>
      <c r="B184" s="105"/>
      <c r="C184" s="136"/>
      <c r="D184" s="136"/>
      <c r="E184" s="136"/>
      <c r="F184" s="79" t="s">
        <v>34</v>
      </c>
      <c r="G184" s="29">
        <f>H184+I184+J184+K184+L184+M184+N184</f>
        <v>47806705.390000001</v>
      </c>
      <c r="H184" s="30">
        <v>7929059.0099999998</v>
      </c>
      <c r="I184" s="29">
        <v>8019174.2000000002</v>
      </c>
      <c r="J184" s="29">
        <f>5720115.42+1711722.69+587336.09+400958.98</f>
        <v>8420133.1799999997</v>
      </c>
      <c r="K184" s="29">
        <f>112+6907200.33+1479302.67+895-3828-153377</f>
        <v>8230305</v>
      </c>
      <c r="L184" s="29">
        <f>8383682-162050</f>
        <v>8221632</v>
      </c>
      <c r="M184" s="29">
        <v>6986402</v>
      </c>
      <c r="N184" s="29">
        <v>0</v>
      </c>
      <c r="O184" s="29">
        <v>0</v>
      </c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</row>
    <row r="185" spans="1:52" s="22" customFormat="1" ht="246" customHeight="1" x14ac:dyDescent="0.4">
      <c r="A185" s="137"/>
      <c r="B185" s="106"/>
      <c r="C185" s="137"/>
      <c r="D185" s="137"/>
      <c r="E185" s="137"/>
      <c r="F185" s="79" t="s">
        <v>35</v>
      </c>
      <c r="G185" s="29">
        <f>SUM(H185:N185)</f>
        <v>23596462</v>
      </c>
      <c r="H185" s="30">
        <v>2073460</v>
      </c>
      <c r="I185" s="29">
        <v>2602021</v>
      </c>
      <c r="J185" s="29">
        <f>2602021+1356127</f>
        <v>3958148</v>
      </c>
      <c r="K185" s="29">
        <f>2717362+715097+1139079</f>
        <v>4571538</v>
      </c>
      <c r="L185" s="29">
        <f>5388807+242239+67711</f>
        <v>5698757</v>
      </c>
      <c r="M185" s="29">
        <v>4692538</v>
      </c>
      <c r="N185" s="29" t="s">
        <v>36</v>
      </c>
      <c r="O185" s="29" t="s">
        <v>36</v>
      </c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</row>
    <row r="186" spans="1:52" s="22" customFormat="1" ht="147.75" customHeight="1" x14ac:dyDescent="0.4">
      <c r="A186" s="135"/>
      <c r="B186" s="112" t="s">
        <v>92</v>
      </c>
      <c r="C186" s="135"/>
      <c r="D186" s="135"/>
      <c r="E186" s="135"/>
      <c r="F186" s="79" t="s">
        <v>33</v>
      </c>
      <c r="G186" s="29">
        <f t="shared" ref="G186:O186" si="59">G187+G188</f>
        <v>28551</v>
      </c>
      <c r="H186" s="29">
        <f t="shared" si="59"/>
        <v>0</v>
      </c>
      <c r="I186" s="29">
        <f t="shared" si="59"/>
        <v>0</v>
      </c>
      <c r="J186" s="29">
        <f t="shared" si="59"/>
        <v>0</v>
      </c>
      <c r="K186" s="29">
        <f t="shared" si="59"/>
        <v>9515</v>
      </c>
      <c r="L186" s="29">
        <f t="shared" si="59"/>
        <v>9518</v>
      </c>
      <c r="M186" s="29">
        <f t="shared" si="59"/>
        <v>9518</v>
      </c>
      <c r="N186" s="29">
        <f t="shared" si="59"/>
        <v>0</v>
      </c>
      <c r="O186" s="29">
        <f t="shared" si="59"/>
        <v>0</v>
      </c>
      <c r="P186" s="104" t="s">
        <v>115</v>
      </c>
      <c r="Q186" s="79"/>
      <c r="R186" s="79"/>
      <c r="S186" s="79"/>
      <c r="T186" s="79"/>
      <c r="U186" s="79"/>
      <c r="V186" s="79"/>
      <c r="W186" s="79"/>
      <c r="X186" s="79"/>
      <c r="Y186" s="84"/>
      <c r="Z186" s="84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</row>
    <row r="187" spans="1:52" s="22" customFormat="1" ht="240" customHeight="1" x14ac:dyDescent="0.4">
      <c r="A187" s="136"/>
      <c r="B187" s="112"/>
      <c r="C187" s="136"/>
      <c r="D187" s="136"/>
      <c r="E187" s="136"/>
      <c r="F187" s="79" t="s">
        <v>34</v>
      </c>
      <c r="G187" s="29">
        <f>H187+I187+J187+K187+L187+M187+N187</f>
        <v>573</v>
      </c>
      <c r="H187" s="30">
        <v>0</v>
      </c>
      <c r="I187" s="29">
        <v>0</v>
      </c>
      <c r="J187" s="29">
        <v>0</v>
      </c>
      <c r="K187" s="29">
        <v>191</v>
      </c>
      <c r="L187" s="29">
        <v>191</v>
      </c>
      <c r="M187" s="29">
        <v>191</v>
      </c>
      <c r="N187" s="29">
        <v>0</v>
      </c>
      <c r="O187" s="29">
        <v>0</v>
      </c>
      <c r="P187" s="105"/>
      <c r="Q187" s="79" t="s">
        <v>61</v>
      </c>
      <c r="R187" s="79"/>
      <c r="S187" s="79">
        <v>100</v>
      </c>
      <c r="T187" s="79">
        <v>100</v>
      </c>
      <c r="U187" s="79">
        <v>100</v>
      </c>
      <c r="V187" s="79">
        <v>100</v>
      </c>
      <c r="W187" s="79">
        <v>100</v>
      </c>
      <c r="X187" s="79">
        <v>100</v>
      </c>
      <c r="Y187" s="84">
        <v>100</v>
      </c>
      <c r="Z187" s="84">
        <v>100</v>
      </c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</row>
    <row r="188" spans="1:52" s="22" customFormat="1" ht="246" customHeight="1" x14ac:dyDescent="0.4">
      <c r="A188" s="137"/>
      <c r="B188" s="112"/>
      <c r="C188" s="137"/>
      <c r="D188" s="137"/>
      <c r="E188" s="137"/>
      <c r="F188" s="79" t="s">
        <v>35</v>
      </c>
      <c r="G188" s="29">
        <f>SUM(H188:N188)</f>
        <v>27978</v>
      </c>
      <c r="H188" s="30">
        <v>0</v>
      </c>
      <c r="I188" s="29">
        <v>0</v>
      </c>
      <c r="J188" s="29">
        <v>0</v>
      </c>
      <c r="K188" s="29">
        <v>9324</v>
      </c>
      <c r="L188" s="29">
        <v>9327</v>
      </c>
      <c r="M188" s="29">
        <v>9327</v>
      </c>
      <c r="N188" s="29" t="s">
        <v>36</v>
      </c>
      <c r="O188" s="29" t="s">
        <v>36</v>
      </c>
      <c r="P188" s="106"/>
      <c r="Q188" s="79"/>
      <c r="R188" s="79"/>
      <c r="S188" s="79"/>
      <c r="T188" s="79"/>
      <c r="U188" s="79"/>
      <c r="V188" s="79"/>
      <c r="W188" s="79"/>
      <c r="X188" s="79"/>
      <c r="Y188" s="84"/>
      <c r="Z188" s="84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</row>
    <row r="189" spans="1:52" s="22" customFormat="1" ht="130.5" customHeight="1" x14ac:dyDescent="0.4">
      <c r="A189" s="118"/>
      <c r="B189" s="104" t="s">
        <v>76</v>
      </c>
      <c r="C189" s="135"/>
      <c r="D189" s="135"/>
      <c r="E189" s="135"/>
      <c r="F189" s="79" t="s">
        <v>33</v>
      </c>
      <c r="G189" s="29">
        <f t="shared" ref="G189:O189" si="60">G190+G191</f>
        <v>26896</v>
      </c>
      <c r="H189" s="29">
        <f t="shared" si="60"/>
        <v>26896</v>
      </c>
      <c r="I189" s="29">
        <f t="shared" si="60"/>
        <v>0</v>
      </c>
      <c r="J189" s="29">
        <f t="shared" si="60"/>
        <v>0</v>
      </c>
      <c r="K189" s="29">
        <f t="shared" si="60"/>
        <v>0</v>
      </c>
      <c r="L189" s="29">
        <f t="shared" si="60"/>
        <v>0</v>
      </c>
      <c r="M189" s="29">
        <f t="shared" si="60"/>
        <v>0</v>
      </c>
      <c r="N189" s="29">
        <f t="shared" si="60"/>
        <v>0</v>
      </c>
      <c r="O189" s="29">
        <f t="shared" si="60"/>
        <v>0</v>
      </c>
      <c r="P189" s="104" t="s">
        <v>2</v>
      </c>
      <c r="Q189" s="104" t="s">
        <v>3</v>
      </c>
      <c r="R189" s="104" t="s">
        <v>9</v>
      </c>
      <c r="S189" s="104" t="s">
        <v>3</v>
      </c>
      <c r="T189" s="104" t="s">
        <v>5</v>
      </c>
      <c r="U189" s="104" t="s">
        <v>2</v>
      </c>
      <c r="V189" s="104" t="s">
        <v>10</v>
      </c>
      <c r="W189" s="104" t="s">
        <v>3</v>
      </c>
      <c r="X189" s="104" t="s">
        <v>5</v>
      </c>
      <c r="Y189" s="133" t="s">
        <v>2</v>
      </c>
      <c r="Z189" s="133" t="s">
        <v>2</v>
      </c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</row>
    <row r="190" spans="1:52" s="22" customFormat="1" ht="216" customHeight="1" x14ac:dyDescent="0.4">
      <c r="A190" s="118"/>
      <c r="B190" s="105"/>
      <c r="C190" s="136"/>
      <c r="D190" s="136"/>
      <c r="E190" s="136"/>
      <c r="F190" s="79" t="s">
        <v>34</v>
      </c>
      <c r="G190" s="29">
        <f>H190+I190+J190+K190+L190+M190+N190</f>
        <v>26896</v>
      </c>
      <c r="H190" s="30">
        <v>26896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  <c r="N190" s="29">
        <v>0</v>
      </c>
      <c r="O190" s="29">
        <v>0</v>
      </c>
      <c r="P190" s="105"/>
      <c r="Q190" s="105"/>
      <c r="R190" s="105"/>
      <c r="S190" s="105"/>
      <c r="T190" s="105"/>
      <c r="U190" s="105"/>
      <c r="V190" s="105"/>
      <c r="W190" s="105"/>
      <c r="X190" s="105"/>
      <c r="Y190" s="134"/>
      <c r="Z190" s="134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</row>
    <row r="191" spans="1:52" s="22" customFormat="1" ht="174" customHeight="1" x14ac:dyDescent="0.4">
      <c r="A191" s="118"/>
      <c r="B191" s="106"/>
      <c r="C191" s="137"/>
      <c r="D191" s="137"/>
      <c r="E191" s="137"/>
      <c r="F191" s="79" t="s">
        <v>35</v>
      </c>
      <c r="G191" s="29">
        <f>H191+I191+J191+K191+L191+M191+N191</f>
        <v>0</v>
      </c>
      <c r="H191" s="30" t="s">
        <v>36</v>
      </c>
      <c r="I191" s="29" t="s">
        <v>36</v>
      </c>
      <c r="J191" s="29" t="s">
        <v>36</v>
      </c>
      <c r="K191" s="29" t="s">
        <v>36</v>
      </c>
      <c r="L191" s="29" t="s">
        <v>36</v>
      </c>
      <c r="M191" s="29" t="s">
        <v>36</v>
      </c>
      <c r="N191" s="29" t="s">
        <v>36</v>
      </c>
      <c r="O191" s="29" t="s">
        <v>36</v>
      </c>
      <c r="P191" s="106"/>
      <c r="Q191" s="106"/>
      <c r="R191" s="106"/>
      <c r="S191" s="106"/>
      <c r="T191" s="106"/>
      <c r="U191" s="106"/>
      <c r="V191" s="106"/>
      <c r="W191" s="106"/>
      <c r="X191" s="106"/>
      <c r="Y191" s="120"/>
      <c r="Z191" s="120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</row>
    <row r="192" spans="1:52" s="22" customFormat="1" ht="129" customHeight="1" x14ac:dyDescent="0.4">
      <c r="A192" s="118"/>
      <c r="B192" s="104" t="s">
        <v>75</v>
      </c>
      <c r="C192" s="135"/>
      <c r="D192" s="135"/>
      <c r="E192" s="135"/>
      <c r="F192" s="79" t="s">
        <v>33</v>
      </c>
      <c r="G192" s="29">
        <f t="shared" ref="G192:O192" si="61">G193+G194</f>
        <v>0</v>
      </c>
      <c r="H192" s="29">
        <f t="shared" si="61"/>
        <v>0</v>
      </c>
      <c r="I192" s="29">
        <f t="shared" si="61"/>
        <v>0</v>
      </c>
      <c r="J192" s="29">
        <f t="shared" si="61"/>
        <v>0</v>
      </c>
      <c r="K192" s="29">
        <f t="shared" si="61"/>
        <v>0</v>
      </c>
      <c r="L192" s="29">
        <f t="shared" si="61"/>
        <v>0</v>
      </c>
      <c r="M192" s="29">
        <f t="shared" si="61"/>
        <v>0</v>
      </c>
      <c r="N192" s="29">
        <f t="shared" si="61"/>
        <v>0</v>
      </c>
      <c r="O192" s="29">
        <f t="shared" si="61"/>
        <v>0</v>
      </c>
      <c r="P192" s="104" t="s">
        <v>2</v>
      </c>
      <c r="Q192" s="104" t="s">
        <v>3</v>
      </c>
      <c r="R192" s="104" t="s">
        <v>9</v>
      </c>
      <c r="S192" s="104" t="s">
        <v>3</v>
      </c>
      <c r="T192" s="104" t="s">
        <v>5</v>
      </c>
      <c r="U192" s="104" t="s">
        <v>2</v>
      </c>
      <c r="V192" s="104" t="s">
        <v>10</v>
      </c>
      <c r="W192" s="104" t="s">
        <v>3</v>
      </c>
      <c r="X192" s="104" t="s">
        <v>5</v>
      </c>
      <c r="Y192" s="133" t="s">
        <v>2</v>
      </c>
      <c r="Z192" s="133" t="s">
        <v>2</v>
      </c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</row>
    <row r="193" spans="1:52" s="22" customFormat="1" ht="237" customHeight="1" x14ac:dyDescent="0.4">
      <c r="A193" s="118"/>
      <c r="B193" s="105"/>
      <c r="C193" s="136"/>
      <c r="D193" s="136"/>
      <c r="E193" s="136"/>
      <c r="F193" s="79" t="s">
        <v>34</v>
      </c>
      <c r="G193" s="29">
        <f>H193+I193+J193+K193+L193+M193+N193</f>
        <v>0</v>
      </c>
      <c r="H193" s="30">
        <v>0</v>
      </c>
      <c r="I193" s="29">
        <v>0</v>
      </c>
      <c r="J193" s="29">
        <v>0</v>
      </c>
      <c r="K193" s="29">
        <v>0</v>
      </c>
      <c r="L193" s="29">
        <v>0</v>
      </c>
      <c r="M193" s="29">
        <v>0</v>
      </c>
      <c r="N193" s="29">
        <v>0</v>
      </c>
      <c r="O193" s="29">
        <v>0</v>
      </c>
      <c r="P193" s="105"/>
      <c r="Q193" s="105"/>
      <c r="R193" s="105"/>
      <c r="S193" s="105"/>
      <c r="T193" s="105"/>
      <c r="U193" s="105"/>
      <c r="V193" s="105"/>
      <c r="W193" s="105"/>
      <c r="X193" s="105"/>
      <c r="Y193" s="134"/>
      <c r="Z193" s="134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</row>
    <row r="194" spans="1:52" s="22" customFormat="1" ht="174" customHeight="1" x14ac:dyDescent="0.4">
      <c r="A194" s="118"/>
      <c r="B194" s="106"/>
      <c r="C194" s="137"/>
      <c r="D194" s="137"/>
      <c r="E194" s="137"/>
      <c r="F194" s="79" t="s">
        <v>35</v>
      </c>
      <c r="G194" s="29">
        <f>H194+I194+J194+K194+L194+M194+N194</f>
        <v>0</v>
      </c>
      <c r="H194" s="30" t="s">
        <v>36</v>
      </c>
      <c r="I194" s="29" t="s">
        <v>36</v>
      </c>
      <c r="J194" s="29" t="s">
        <v>36</v>
      </c>
      <c r="K194" s="29" t="s">
        <v>36</v>
      </c>
      <c r="L194" s="29" t="s">
        <v>36</v>
      </c>
      <c r="M194" s="29" t="s">
        <v>36</v>
      </c>
      <c r="N194" s="29" t="s">
        <v>36</v>
      </c>
      <c r="O194" s="29" t="s">
        <v>36</v>
      </c>
      <c r="P194" s="106"/>
      <c r="Q194" s="106"/>
      <c r="R194" s="106"/>
      <c r="S194" s="106"/>
      <c r="T194" s="106"/>
      <c r="U194" s="106"/>
      <c r="V194" s="106"/>
      <c r="W194" s="106"/>
      <c r="X194" s="106"/>
      <c r="Y194" s="120"/>
      <c r="Z194" s="120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</row>
    <row r="195" spans="1:52" s="22" customFormat="1" ht="174" customHeight="1" x14ac:dyDescent="0.4">
      <c r="A195" s="118"/>
      <c r="B195" s="104" t="s">
        <v>100</v>
      </c>
      <c r="C195" s="135"/>
      <c r="D195" s="135"/>
      <c r="E195" s="135"/>
      <c r="F195" s="79" t="s">
        <v>33</v>
      </c>
      <c r="G195" s="29">
        <f t="shared" ref="G195:O195" si="62">G196+G197</f>
        <v>2650562.62</v>
      </c>
      <c r="H195" s="29">
        <f t="shared" si="62"/>
        <v>0</v>
      </c>
      <c r="I195" s="29">
        <f t="shared" si="62"/>
        <v>2650562.62</v>
      </c>
      <c r="J195" s="29">
        <f t="shared" si="62"/>
        <v>0</v>
      </c>
      <c r="K195" s="29">
        <f t="shared" si="62"/>
        <v>0</v>
      </c>
      <c r="L195" s="29">
        <f t="shared" si="62"/>
        <v>0</v>
      </c>
      <c r="M195" s="29">
        <f t="shared" si="62"/>
        <v>0</v>
      </c>
      <c r="N195" s="29">
        <f t="shared" si="62"/>
        <v>0</v>
      </c>
      <c r="O195" s="29">
        <f t="shared" si="62"/>
        <v>0</v>
      </c>
      <c r="P195" s="104" t="s">
        <v>2</v>
      </c>
      <c r="Q195" s="104" t="s">
        <v>3</v>
      </c>
      <c r="R195" s="104" t="s">
        <v>9</v>
      </c>
      <c r="S195" s="104" t="s">
        <v>3</v>
      </c>
      <c r="T195" s="104" t="s">
        <v>5</v>
      </c>
      <c r="U195" s="104" t="s">
        <v>2</v>
      </c>
      <c r="V195" s="104" t="s">
        <v>10</v>
      </c>
      <c r="W195" s="104" t="s">
        <v>3</v>
      </c>
      <c r="X195" s="104" t="s">
        <v>5</v>
      </c>
      <c r="Y195" s="133" t="s">
        <v>2</v>
      </c>
      <c r="Z195" s="133" t="s">
        <v>2</v>
      </c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</row>
    <row r="196" spans="1:52" s="22" customFormat="1" ht="174" customHeight="1" x14ac:dyDescent="0.4">
      <c r="A196" s="118"/>
      <c r="B196" s="105"/>
      <c r="C196" s="136"/>
      <c r="D196" s="136"/>
      <c r="E196" s="136"/>
      <c r="F196" s="79" t="s">
        <v>34</v>
      </c>
      <c r="G196" s="29">
        <f>H196+I196+J196+K196+L196+M196+N196</f>
        <v>53011.25</v>
      </c>
      <c r="H196" s="30">
        <v>0</v>
      </c>
      <c r="I196" s="29">
        <v>53011.25</v>
      </c>
      <c r="J196" s="29">
        <v>0</v>
      </c>
      <c r="K196" s="29">
        <v>0</v>
      </c>
      <c r="L196" s="29">
        <v>0</v>
      </c>
      <c r="M196" s="29">
        <v>0</v>
      </c>
      <c r="N196" s="29">
        <v>0</v>
      </c>
      <c r="O196" s="29">
        <v>0</v>
      </c>
      <c r="P196" s="105"/>
      <c r="Q196" s="105"/>
      <c r="R196" s="105"/>
      <c r="S196" s="105"/>
      <c r="T196" s="105"/>
      <c r="U196" s="105"/>
      <c r="V196" s="105"/>
      <c r="W196" s="105"/>
      <c r="X196" s="105"/>
      <c r="Y196" s="134"/>
      <c r="Z196" s="134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</row>
    <row r="197" spans="1:52" s="22" customFormat="1" ht="174" customHeight="1" x14ac:dyDescent="0.4">
      <c r="A197" s="118"/>
      <c r="B197" s="106"/>
      <c r="C197" s="137"/>
      <c r="D197" s="137"/>
      <c r="E197" s="137"/>
      <c r="F197" s="79" t="s">
        <v>35</v>
      </c>
      <c r="G197" s="29">
        <f>H197+I197+J197+K197+L197+M197+N197</f>
        <v>2597551.37</v>
      </c>
      <c r="H197" s="30" t="s">
        <v>36</v>
      </c>
      <c r="I197" s="29">
        <v>2597551.37</v>
      </c>
      <c r="J197" s="29" t="s">
        <v>36</v>
      </c>
      <c r="K197" s="29" t="s">
        <v>36</v>
      </c>
      <c r="L197" s="29" t="s">
        <v>36</v>
      </c>
      <c r="M197" s="29" t="s">
        <v>36</v>
      </c>
      <c r="N197" s="29" t="s">
        <v>36</v>
      </c>
      <c r="O197" s="29" t="s">
        <v>36</v>
      </c>
      <c r="P197" s="106"/>
      <c r="Q197" s="106"/>
      <c r="R197" s="106"/>
      <c r="S197" s="106"/>
      <c r="T197" s="106"/>
      <c r="U197" s="106"/>
      <c r="V197" s="106"/>
      <c r="W197" s="106"/>
      <c r="X197" s="106"/>
      <c r="Y197" s="120"/>
      <c r="Z197" s="120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</row>
    <row r="198" spans="1:52" s="22" customFormat="1" ht="174" customHeight="1" x14ac:dyDescent="0.4">
      <c r="A198" s="69"/>
      <c r="B198" s="79" t="s">
        <v>45</v>
      </c>
      <c r="C198" s="24">
        <v>2019</v>
      </c>
      <c r="D198" s="24">
        <v>2026</v>
      </c>
      <c r="E198" s="25"/>
      <c r="F198" s="79" t="s">
        <v>32</v>
      </c>
      <c r="G198" s="29" t="s">
        <v>32</v>
      </c>
      <c r="H198" s="30" t="s">
        <v>32</v>
      </c>
      <c r="I198" s="29" t="s">
        <v>32</v>
      </c>
      <c r="J198" s="29" t="s">
        <v>32</v>
      </c>
      <c r="K198" s="29" t="s">
        <v>32</v>
      </c>
      <c r="L198" s="29" t="s">
        <v>32</v>
      </c>
      <c r="M198" s="29" t="s">
        <v>32</v>
      </c>
      <c r="N198" s="29" t="s">
        <v>32</v>
      </c>
      <c r="O198" s="29" t="s">
        <v>32</v>
      </c>
      <c r="P198" s="164" t="s">
        <v>65</v>
      </c>
      <c r="Q198" s="43"/>
      <c r="R198" s="73"/>
      <c r="S198" s="44"/>
      <c r="T198" s="45"/>
      <c r="U198" s="45"/>
      <c r="V198" s="45"/>
      <c r="W198" s="45"/>
      <c r="X198" s="45"/>
      <c r="Y198" s="46"/>
      <c r="Z198" s="46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</row>
    <row r="199" spans="1:52" s="22" customFormat="1" ht="139.5" customHeight="1" x14ac:dyDescent="0.4">
      <c r="A199" s="135"/>
      <c r="B199" s="145" t="s">
        <v>59</v>
      </c>
      <c r="C199" s="135"/>
      <c r="D199" s="135"/>
      <c r="E199" s="170" t="s">
        <v>37</v>
      </c>
      <c r="F199" s="79" t="s">
        <v>33</v>
      </c>
      <c r="G199" s="29">
        <f t="shared" ref="G199:O199" si="63">G200+G201</f>
        <v>12772547.59</v>
      </c>
      <c r="H199" s="29">
        <f t="shared" si="63"/>
        <v>1504494.3399999999</v>
      </c>
      <c r="I199" s="29">
        <f t="shared" si="63"/>
        <v>1555125.03</v>
      </c>
      <c r="J199" s="29">
        <f t="shared" si="63"/>
        <v>1674995.4400000002</v>
      </c>
      <c r="K199" s="29">
        <f t="shared" si="63"/>
        <v>1469320.0699999998</v>
      </c>
      <c r="L199" s="29">
        <f t="shared" si="63"/>
        <v>2307802.7300000004</v>
      </c>
      <c r="M199" s="29">
        <f t="shared" si="63"/>
        <v>3370241.98</v>
      </c>
      <c r="N199" s="29">
        <f t="shared" si="63"/>
        <v>890568</v>
      </c>
      <c r="O199" s="29">
        <f t="shared" si="63"/>
        <v>890568</v>
      </c>
      <c r="P199" s="165"/>
      <c r="Q199" s="104" t="s">
        <v>61</v>
      </c>
      <c r="R199" s="104"/>
      <c r="S199" s="104">
        <v>0.1</v>
      </c>
      <c r="T199" s="104">
        <v>0.1</v>
      </c>
      <c r="U199" s="104">
        <v>0.1</v>
      </c>
      <c r="V199" s="104">
        <v>0.1</v>
      </c>
      <c r="W199" s="104">
        <v>0.1</v>
      </c>
      <c r="X199" s="104">
        <v>0.1</v>
      </c>
      <c r="Y199" s="133">
        <v>0.1</v>
      </c>
      <c r="Z199" s="133">
        <v>0.1</v>
      </c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</row>
    <row r="200" spans="1:52" s="22" customFormat="1" ht="226.5" customHeight="1" x14ac:dyDescent="0.4">
      <c r="A200" s="136"/>
      <c r="B200" s="146"/>
      <c r="C200" s="136"/>
      <c r="D200" s="136"/>
      <c r="E200" s="171"/>
      <c r="F200" s="79" t="s">
        <v>34</v>
      </c>
      <c r="G200" s="29">
        <f>SUM(H200:N200)</f>
        <v>10038777.970000001</v>
      </c>
      <c r="H200" s="29">
        <f t="shared" ref="H200:O201" si="64">H203+H206+H212+H215</f>
        <v>1214387.8899999999</v>
      </c>
      <c r="I200" s="29">
        <f t="shared" si="64"/>
        <v>1255115.6000000001</v>
      </c>
      <c r="J200" s="29">
        <f t="shared" si="64"/>
        <v>1324217.8900000001</v>
      </c>
      <c r="K200" s="29">
        <f t="shared" si="64"/>
        <v>989582.96999999986</v>
      </c>
      <c r="L200" s="29">
        <f t="shared" si="64"/>
        <v>1616252.1400000001</v>
      </c>
      <c r="M200" s="29">
        <f>M203+M206+M212+M215+M218</f>
        <v>2748653.48</v>
      </c>
      <c r="N200" s="29">
        <f t="shared" si="64"/>
        <v>890568</v>
      </c>
      <c r="O200" s="29">
        <f t="shared" si="64"/>
        <v>890568</v>
      </c>
      <c r="P200" s="166"/>
      <c r="Q200" s="106"/>
      <c r="R200" s="106"/>
      <c r="S200" s="106"/>
      <c r="T200" s="106"/>
      <c r="U200" s="106"/>
      <c r="V200" s="106"/>
      <c r="W200" s="106"/>
      <c r="X200" s="106"/>
      <c r="Y200" s="120"/>
      <c r="Z200" s="120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</row>
    <row r="201" spans="1:52" s="22" customFormat="1" ht="174" customHeight="1" x14ac:dyDescent="0.4">
      <c r="A201" s="137"/>
      <c r="B201" s="147"/>
      <c r="C201" s="137"/>
      <c r="D201" s="137"/>
      <c r="E201" s="47"/>
      <c r="F201" s="79" t="s">
        <v>35</v>
      </c>
      <c r="G201" s="29">
        <f>SUM(H201:N201)</f>
        <v>2733769.62</v>
      </c>
      <c r="H201" s="29">
        <f t="shared" si="64"/>
        <v>290106.45</v>
      </c>
      <c r="I201" s="29">
        <f t="shared" si="64"/>
        <v>300009.43</v>
      </c>
      <c r="J201" s="29">
        <f t="shared" si="64"/>
        <v>350777.55</v>
      </c>
      <c r="K201" s="29">
        <f t="shared" si="64"/>
        <v>479737.1</v>
      </c>
      <c r="L201" s="29">
        <f t="shared" si="64"/>
        <v>691550.59000000008</v>
      </c>
      <c r="M201" s="29">
        <f>M204+M207+M213+M216+M219</f>
        <v>621588.5</v>
      </c>
      <c r="N201" s="29">
        <f t="shared" si="64"/>
        <v>0</v>
      </c>
      <c r="O201" s="29">
        <f t="shared" si="64"/>
        <v>0</v>
      </c>
      <c r="P201" s="79"/>
      <c r="Q201" s="79"/>
      <c r="R201" s="79"/>
      <c r="S201" s="79"/>
      <c r="T201" s="79"/>
      <c r="U201" s="79"/>
      <c r="V201" s="79"/>
      <c r="W201" s="79"/>
      <c r="X201" s="79"/>
      <c r="Y201" s="84"/>
      <c r="Z201" s="84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</row>
    <row r="202" spans="1:52" s="49" customFormat="1" ht="109.5" customHeight="1" x14ac:dyDescent="0.4">
      <c r="A202" s="135"/>
      <c r="B202" s="104" t="s">
        <v>79</v>
      </c>
      <c r="C202" s="135"/>
      <c r="D202" s="135"/>
      <c r="E202" s="135"/>
      <c r="F202" s="79" t="s">
        <v>33</v>
      </c>
      <c r="G202" s="29">
        <f t="shared" ref="G202:O202" si="65">G203+G204</f>
        <v>0</v>
      </c>
      <c r="H202" s="29">
        <f t="shared" si="65"/>
        <v>0</v>
      </c>
      <c r="I202" s="29">
        <f t="shared" si="65"/>
        <v>0</v>
      </c>
      <c r="J202" s="29">
        <f t="shared" si="65"/>
        <v>0</v>
      </c>
      <c r="K202" s="29">
        <f t="shared" si="65"/>
        <v>0</v>
      </c>
      <c r="L202" s="29">
        <f t="shared" si="65"/>
        <v>0</v>
      </c>
      <c r="M202" s="29">
        <f t="shared" si="65"/>
        <v>0</v>
      </c>
      <c r="N202" s="29">
        <f t="shared" si="65"/>
        <v>0</v>
      </c>
      <c r="O202" s="29">
        <f t="shared" si="65"/>
        <v>0</v>
      </c>
      <c r="P202" s="146"/>
      <c r="Q202" s="146"/>
      <c r="R202" s="146"/>
      <c r="S202" s="146"/>
      <c r="T202" s="146"/>
      <c r="U202" s="146"/>
      <c r="V202" s="146"/>
      <c r="W202" s="146"/>
      <c r="X202" s="146"/>
      <c r="Y202" s="172"/>
      <c r="Z202" s="172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48"/>
      <c r="AZ202" s="48"/>
    </row>
    <row r="203" spans="1:52" s="49" customFormat="1" ht="223.5" customHeight="1" x14ac:dyDescent="0.4">
      <c r="A203" s="136"/>
      <c r="B203" s="105"/>
      <c r="C203" s="136"/>
      <c r="D203" s="136"/>
      <c r="E203" s="136"/>
      <c r="F203" s="79" t="s">
        <v>34</v>
      </c>
      <c r="G203" s="29">
        <f>H203+I203+J203+K203+L203+M203+N203</f>
        <v>0</v>
      </c>
      <c r="H203" s="30">
        <v>0</v>
      </c>
      <c r="I203" s="29">
        <v>0</v>
      </c>
      <c r="J203" s="29">
        <v>0</v>
      </c>
      <c r="K203" s="29">
        <v>0</v>
      </c>
      <c r="L203" s="29">
        <v>0</v>
      </c>
      <c r="M203" s="29">
        <v>0</v>
      </c>
      <c r="N203" s="29">
        <v>0</v>
      </c>
      <c r="O203" s="29">
        <v>0</v>
      </c>
      <c r="P203" s="146"/>
      <c r="Q203" s="146"/>
      <c r="R203" s="146"/>
      <c r="S203" s="146"/>
      <c r="T203" s="146"/>
      <c r="U203" s="146"/>
      <c r="V203" s="146"/>
      <c r="W203" s="146"/>
      <c r="X203" s="146"/>
      <c r="Y203" s="172"/>
      <c r="Z203" s="172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48"/>
      <c r="AZ203" s="48"/>
    </row>
    <row r="204" spans="1:52" s="52" customFormat="1" ht="174" customHeight="1" x14ac:dyDescent="0.4">
      <c r="A204" s="137"/>
      <c r="B204" s="106"/>
      <c r="C204" s="137"/>
      <c r="D204" s="137"/>
      <c r="E204" s="137"/>
      <c r="F204" s="79" t="s">
        <v>35</v>
      </c>
      <c r="G204" s="29">
        <f>SUM(H204:N204)</f>
        <v>0</v>
      </c>
      <c r="H204" s="30">
        <v>0</v>
      </c>
      <c r="I204" s="29">
        <v>0</v>
      </c>
      <c r="J204" s="29">
        <v>0</v>
      </c>
      <c r="K204" s="29" t="s">
        <v>36</v>
      </c>
      <c r="L204" s="29">
        <v>0</v>
      </c>
      <c r="M204" s="29">
        <v>0</v>
      </c>
      <c r="N204" s="29" t="s">
        <v>36</v>
      </c>
      <c r="O204" s="29" t="s">
        <v>36</v>
      </c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1"/>
      <c r="AB204" s="51"/>
      <c r="AC204" s="51"/>
      <c r="AD204" s="51"/>
      <c r="AE204" s="51"/>
      <c r="AF204" s="51"/>
      <c r="AG204" s="51"/>
      <c r="AH204" s="51"/>
      <c r="AI204" s="51"/>
      <c r="AJ204" s="51"/>
      <c r="AK204" s="51"/>
      <c r="AL204" s="51"/>
      <c r="AM204" s="51"/>
      <c r="AN204" s="51"/>
      <c r="AO204" s="51"/>
      <c r="AP204" s="51"/>
      <c r="AQ204" s="51"/>
      <c r="AR204" s="51"/>
      <c r="AS204" s="51"/>
      <c r="AT204" s="51"/>
      <c r="AU204" s="51"/>
      <c r="AV204" s="51"/>
      <c r="AW204" s="51"/>
      <c r="AX204" s="51"/>
      <c r="AY204" s="51"/>
      <c r="AZ204" s="51"/>
    </row>
    <row r="205" spans="1:52" s="52" customFormat="1" ht="78.75" x14ac:dyDescent="0.4">
      <c r="A205" s="135"/>
      <c r="B205" s="104" t="s">
        <v>80</v>
      </c>
      <c r="C205" s="135"/>
      <c r="D205" s="135"/>
      <c r="E205" s="135"/>
      <c r="F205" s="79" t="s">
        <v>33</v>
      </c>
      <c r="G205" s="29">
        <f t="shared" ref="G205:O205" si="66">G206+G207</f>
        <v>12656773.609999999</v>
      </c>
      <c r="H205" s="29">
        <f t="shared" si="66"/>
        <v>1504494.3399999999</v>
      </c>
      <c r="I205" s="29">
        <f t="shared" si="66"/>
        <v>1555125.03</v>
      </c>
      <c r="J205" s="29">
        <f t="shared" si="66"/>
        <v>1674995.4400000002</v>
      </c>
      <c r="K205" s="29">
        <f t="shared" si="66"/>
        <v>1469320.0699999998</v>
      </c>
      <c r="L205" s="29">
        <f t="shared" si="66"/>
        <v>2307802.7300000004</v>
      </c>
      <c r="M205" s="29">
        <f t="shared" si="66"/>
        <v>3254468</v>
      </c>
      <c r="N205" s="29">
        <f t="shared" si="66"/>
        <v>890568</v>
      </c>
      <c r="O205" s="29">
        <f t="shared" si="66"/>
        <v>890568</v>
      </c>
      <c r="P205" s="146"/>
      <c r="Q205" s="146"/>
      <c r="R205" s="146"/>
      <c r="S205" s="146"/>
      <c r="T205" s="146"/>
      <c r="U205" s="146"/>
      <c r="V205" s="146"/>
      <c r="W205" s="146"/>
      <c r="X205" s="146"/>
      <c r="Y205" s="172"/>
      <c r="Z205" s="172"/>
      <c r="AA205" s="51"/>
      <c r="AB205" s="51"/>
      <c r="AC205" s="51"/>
      <c r="AD205" s="51"/>
      <c r="AE205" s="51"/>
      <c r="AF205" s="51"/>
      <c r="AG205" s="51"/>
      <c r="AH205" s="51"/>
      <c r="AI205" s="51"/>
      <c r="AJ205" s="51"/>
      <c r="AK205" s="51"/>
      <c r="AL205" s="51"/>
      <c r="AM205" s="51"/>
      <c r="AN205" s="51"/>
      <c r="AO205" s="51"/>
      <c r="AP205" s="51"/>
      <c r="AQ205" s="51"/>
      <c r="AR205" s="51"/>
      <c r="AS205" s="51"/>
      <c r="AT205" s="51"/>
      <c r="AU205" s="51"/>
      <c r="AV205" s="51"/>
      <c r="AW205" s="51"/>
      <c r="AX205" s="51"/>
      <c r="AY205" s="51"/>
      <c r="AZ205" s="51"/>
    </row>
    <row r="206" spans="1:52" s="52" customFormat="1" ht="229.5" customHeight="1" x14ac:dyDescent="0.4">
      <c r="A206" s="136"/>
      <c r="B206" s="105"/>
      <c r="C206" s="136"/>
      <c r="D206" s="136"/>
      <c r="E206" s="136"/>
      <c r="F206" s="79" t="s">
        <v>34</v>
      </c>
      <c r="G206" s="29">
        <f>H206+I206+J206+K206+L206+M206+N206</f>
        <v>10036462.49</v>
      </c>
      <c r="H206" s="30">
        <v>1214387.8899999999</v>
      </c>
      <c r="I206" s="29">
        <v>1255115.6000000001</v>
      </c>
      <c r="J206" s="29">
        <f>1267169.08-7720.08+38284.31+16754.79+9729.79</f>
        <v>1324217.8900000001</v>
      </c>
      <c r="K206" s="29">
        <f>880472.93+265902.83+37440+3970-184851.53-55825.18-14953.55+4970-2846+57867.47-2564</f>
        <v>989582.96999999986</v>
      </c>
      <c r="L206" s="29">
        <f>684000+3970+206568+38938+45396.21+689369.6-38938+19300-59649.23-898.98+28196.54</f>
        <v>1616252.1400000001</v>
      </c>
      <c r="M206" s="29">
        <f>684000+4148+206568+29217.71+2000000-177595.71</f>
        <v>2746338</v>
      </c>
      <c r="N206" s="29">
        <f>684000+206568</f>
        <v>890568</v>
      </c>
      <c r="O206" s="29">
        <f>684000+206568</f>
        <v>890568</v>
      </c>
      <c r="P206" s="146"/>
      <c r="Q206" s="146"/>
      <c r="R206" s="146"/>
      <c r="S206" s="146"/>
      <c r="T206" s="146"/>
      <c r="U206" s="146"/>
      <c r="V206" s="146"/>
      <c r="W206" s="146"/>
      <c r="X206" s="146"/>
      <c r="Y206" s="172"/>
      <c r="Z206" s="172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51"/>
      <c r="AO206" s="51"/>
      <c r="AP206" s="51"/>
      <c r="AQ206" s="51"/>
      <c r="AR206" s="51"/>
      <c r="AS206" s="51"/>
      <c r="AT206" s="51"/>
      <c r="AU206" s="51"/>
      <c r="AV206" s="51"/>
      <c r="AW206" s="51"/>
      <c r="AX206" s="51"/>
      <c r="AY206" s="51"/>
      <c r="AZ206" s="51"/>
    </row>
    <row r="207" spans="1:52" s="52" customFormat="1" ht="174" customHeight="1" x14ac:dyDescent="0.4">
      <c r="A207" s="137"/>
      <c r="B207" s="106"/>
      <c r="C207" s="137"/>
      <c r="D207" s="137"/>
      <c r="E207" s="137"/>
      <c r="F207" s="79" t="s">
        <v>35</v>
      </c>
      <c r="G207" s="29">
        <f>H207+I207+J207+K207+L207+M207+N207</f>
        <v>2620311.12</v>
      </c>
      <c r="H207" s="30">
        <v>290106.45</v>
      </c>
      <c r="I207" s="29">
        <v>300009.43</v>
      </c>
      <c r="J207" s="29">
        <f>333103.68+17673.87</f>
        <v>350777.55</v>
      </c>
      <c r="K207" s="29">
        <f>384537.1+84500+10700</f>
        <v>479737.1</v>
      </c>
      <c r="L207" s="29">
        <f>534158.53+130000+27392.06</f>
        <v>691550.59000000008</v>
      </c>
      <c r="M207" s="29">
        <v>508130</v>
      </c>
      <c r="N207" s="29" t="s">
        <v>36</v>
      </c>
      <c r="O207" s="29" t="s">
        <v>36</v>
      </c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1"/>
      <c r="AB207" s="51"/>
      <c r="AC207" s="51"/>
      <c r="AD207" s="51"/>
      <c r="AE207" s="51"/>
      <c r="AF207" s="51"/>
      <c r="AG207" s="51"/>
      <c r="AH207" s="51"/>
      <c r="AI207" s="51"/>
      <c r="AJ207" s="51"/>
      <c r="AK207" s="51"/>
      <c r="AL207" s="51"/>
      <c r="AM207" s="51"/>
      <c r="AN207" s="51"/>
      <c r="AO207" s="51"/>
      <c r="AP207" s="51"/>
      <c r="AQ207" s="51"/>
      <c r="AR207" s="51"/>
      <c r="AS207" s="51"/>
      <c r="AT207" s="51"/>
      <c r="AU207" s="51"/>
      <c r="AV207" s="51"/>
      <c r="AW207" s="51"/>
      <c r="AX207" s="51"/>
      <c r="AY207" s="51"/>
      <c r="AZ207" s="51"/>
    </row>
    <row r="208" spans="1:52" s="52" customFormat="1" ht="174" customHeight="1" x14ac:dyDescent="0.4">
      <c r="A208" s="69"/>
      <c r="B208" s="104" t="s">
        <v>94</v>
      </c>
      <c r="C208" s="135"/>
      <c r="D208" s="135"/>
      <c r="E208" s="135"/>
      <c r="F208" s="79" t="s">
        <v>33</v>
      </c>
      <c r="G208" s="29">
        <f t="shared" ref="G208:O208" si="67">G209+G210</f>
        <v>8815523.1000000015</v>
      </c>
      <c r="H208" s="29">
        <f t="shared" si="67"/>
        <v>1442494.3399999999</v>
      </c>
      <c r="I208" s="29">
        <f t="shared" si="67"/>
        <v>1555125.03</v>
      </c>
      <c r="J208" s="29">
        <f t="shared" si="67"/>
        <v>1538201.5499999998</v>
      </c>
      <c r="K208" s="29">
        <f t="shared" si="67"/>
        <v>1433320.0699999998</v>
      </c>
      <c r="L208" s="29">
        <f t="shared" si="67"/>
        <v>1596062.11</v>
      </c>
      <c r="M208" s="29">
        <f t="shared" si="67"/>
        <v>1250320</v>
      </c>
      <c r="N208" s="29">
        <f t="shared" si="67"/>
        <v>0</v>
      </c>
      <c r="O208" s="29">
        <f t="shared" si="67"/>
        <v>0</v>
      </c>
      <c r="P208" s="104" t="s">
        <v>116</v>
      </c>
      <c r="Q208" s="104" t="s">
        <v>61</v>
      </c>
      <c r="R208" s="104"/>
      <c r="S208" s="104">
        <v>78.78</v>
      </c>
      <c r="T208" s="104">
        <v>77.349999999999994</v>
      </c>
      <c r="U208" s="104">
        <v>75.5</v>
      </c>
      <c r="V208" s="104">
        <v>77.56</v>
      </c>
      <c r="W208" s="104">
        <v>78.03</v>
      </c>
      <c r="X208" s="104">
        <v>72.75</v>
      </c>
      <c r="Y208" s="104">
        <v>72.75</v>
      </c>
      <c r="Z208" s="104">
        <v>72.75</v>
      </c>
      <c r="AA208" s="51"/>
      <c r="AB208" s="51"/>
      <c r="AC208" s="51"/>
      <c r="AD208" s="51"/>
      <c r="AE208" s="51"/>
      <c r="AF208" s="51"/>
      <c r="AG208" s="51"/>
      <c r="AH208" s="51"/>
      <c r="AI208" s="51"/>
      <c r="AJ208" s="51"/>
      <c r="AK208" s="51"/>
      <c r="AL208" s="51"/>
      <c r="AM208" s="51"/>
      <c r="AN208" s="51"/>
      <c r="AO208" s="51"/>
      <c r="AP208" s="51"/>
      <c r="AQ208" s="51"/>
      <c r="AR208" s="51"/>
      <c r="AS208" s="51"/>
      <c r="AT208" s="51"/>
      <c r="AU208" s="51"/>
      <c r="AV208" s="51"/>
      <c r="AW208" s="51"/>
      <c r="AX208" s="51"/>
      <c r="AY208" s="51"/>
      <c r="AZ208" s="51"/>
    </row>
    <row r="209" spans="1:52" s="52" customFormat="1" ht="244.5" customHeight="1" x14ac:dyDescent="0.4">
      <c r="A209" s="69"/>
      <c r="B209" s="105"/>
      <c r="C209" s="136"/>
      <c r="D209" s="136"/>
      <c r="E209" s="136"/>
      <c r="F209" s="79" t="s">
        <v>34</v>
      </c>
      <c r="G209" s="29">
        <f>H209+I209+J209+K209+L209+M209+N209</f>
        <v>6195211.9800000004</v>
      </c>
      <c r="H209" s="30">
        <v>1152387.8899999999</v>
      </c>
      <c r="I209" s="29">
        <v>1255115.6000000001</v>
      </c>
      <c r="J209" s="29">
        <f>906715.43+233237.76+55190.89-7720.08</f>
        <v>1187423.9999999998</v>
      </c>
      <c r="K209" s="29">
        <f>695621.4+210077.65-14953.55+4970+57867.47</f>
        <v>953582.97</v>
      </c>
      <c r="L209" s="29">
        <f>890263.64+45700.57-59649.23+28196.54</f>
        <v>904511.52</v>
      </c>
      <c r="M209" s="29">
        <f>742190</f>
        <v>742190</v>
      </c>
      <c r="N209" s="29">
        <v>0</v>
      </c>
      <c r="O209" s="29">
        <v>0</v>
      </c>
      <c r="P209" s="105"/>
      <c r="Q209" s="105"/>
      <c r="R209" s="105"/>
      <c r="S209" s="105"/>
      <c r="T209" s="105"/>
      <c r="U209" s="105"/>
      <c r="V209" s="105"/>
      <c r="W209" s="105"/>
      <c r="X209" s="105"/>
      <c r="Y209" s="105"/>
      <c r="Z209" s="105"/>
      <c r="AA209" s="51"/>
      <c r="AB209" s="51"/>
      <c r="AC209" s="51"/>
      <c r="AD209" s="51"/>
      <c r="AE209" s="51"/>
      <c r="AF209" s="51"/>
      <c r="AG209" s="51"/>
      <c r="AH209" s="51"/>
      <c r="AI209" s="51"/>
      <c r="AJ209" s="51"/>
      <c r="AK209" s="51"/>
      <c r="AL209" s="51"/>
      <c r="AM209" s="51"/>
      <c r="AN209" s="51"/>
      <c r="AO209" s="51"/>
      <c r="AP209" s="51"/>
      <c r="AQ209" s="51"/>
      <c r="AR209" s="51"/>
      <c r="AS209" s="51"/>
      <c r="AT209" s="51"/>
      <c r="AU209" s="51"/>
      <c r="AV209" s="51"/>
      <c r="AW209" s="51"/>
      <c r="AX209" s="51"/>
      <c r="AY209" s="51"/>
      <c r="AZ209" s="51"/>
    </row>
    <row r="210" spans="1:52" s="52" customFormat="1" ht="174" customHeight="1" x14ac:dyDescent="0.4">
      <c r="A210" s="69"/>
      <c r="B210" s="106"/>
      <c r="C210" s="137"/>
      <c r="D210" s="137"/>
      <c r="E210" s="137"/>
      <c r="F210" s="79" t="s">
        <v>35</v>
      </c>
      <c r="G210" s="29">
        <f>H210+I210+J210+K210+L210+M210+N210</f>
        <v>2620311.12</v>
      </c>
      <c r="H210" s="30">
        <v>290106.45</v>
      </c>
      <c r="I210" s="29">
        <v>300009.43</v>
      </c>
      <c r="J210" s="29">
        <f>333103.68+17673.87</f>
        <v>350777.55</v>
      </c>
      <c r="K210" s="29">
        <f>384537.1+84500+10700</f>
        <v>479737.1</v>
      </c>
      <c r="L210" s="29">
        <f>534158.53+130000+27392.06</f>
        <v>691550.59000000008</v>
      </c>
      <c r="M210" s="29">
        <v>508130</v>
      </c>
      <c r="N210" s="29" t="s">
        <v>36</v>
      </c>
      <c r="O210" s="29" t="s">
        <v>36</v>
      </c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51"/>
      <c r="AB210" s="51"/>
      <c r="AC210" s="51"/>
      <c r="AD210" s="51"/>
      <c r="AE210" s="51"/>
      <c r="AF210" s="51"/>
      <c r="AG210" s="51"/>
      <c r="AH210" s="51"/>
      <c r="AI210" s="51"/>
      <c r="AJ210" s="51"/>
      <c r="AK210" s="51"/>
      <c r="AL210" s="51"/>
      <c r="AM210" s="51"/>
      <c r="AN210" s="51"/>
      <c r="AO210" s="51"/>
      <c r="AP210" s="51"/>
      <c r="AQ210" s="51"/>
      <c r="AR210" s="51"/>
      <c r="AS210" s="51"/>
      <c r="AT210" s="51"/>
      <c r="AU210" s="51"/>
      <c r="AV210" s="51"/>
      <c r="AW210" s="51"/>
      <c r="AX210" s="51"/>
      <c r="AY210" s="51"/>
      <c r="AZ210" s="51"/>
    </row>
    <row r="211" spans="1:52" s="52" customFormat="1" ht="141" customHeight="1" x14ac:dyDescent="0.4">
      <c r="A211" s="135"/>
      <c r="B211" s="104" t="s">
        <v>81</v>
      </c>
      <c r="C211" s="135"/>
      <c r="D211" s="135"/>
      <c r="E211" s="135"/>
      <c r="F211" s="79" t="s">
        <v>33</v>
      </c>
      <c r="G211" s="29">
        <f t="shared" ref="G211:O211" si="68">G212+G213</f>
        <v>0</v>
      </c>
      <c r="H211" s="29">
        <f t="shared" si="68"/>
        <v>0</v>
      </c>
      <c r="I211" s="29">
        <f t="shared" si="68"/>
        <v>0</v>
      </c>
      <c r="J211" s="29">
        <f t="shared" si="68"/>
        <v>0</v>
      </c>
      <c r="K211" s="29">
        <f t="shared" si="68"/>
        <v>0</v>
      </c>
      <c r="L211" s="29">
        <f t="shared" si="68"/>
        <v>0</v>
      </c>
      <c r="M211" s="29">
        <f t="shared" si="68"/>
        <v>0</v>
      </c>
      <c r="N211" s="29">
        <f t="shared" si="68"/>
        <v>0</v>
      </c>
      <c r="O211" s="29">
        <f t="shared" si="68"/>
        <v>0</v>
      </c>
      <c r="P211" s="146"/>
      <c r="Q211" s="146"/>
      <c r="R211" s="146"/>
      <c r="S211" s="146"/>
      <c r="T211" s="146"/>
      <c r="U211" s="146"/>
      <c r="V211" s="146"/>
      <c r="W211" s="146"/>
      <c r="X211" s="146"/>
      <c r="Y211" s="172"/>
      <c r="Z211" s="172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/>
      <c r="AL211" s="51"/>
      <c r="AM211" s="51"/>
      <c r="AN211" s="51"/>
      <c r="AO211" s="51"/>
      <c r="AP211" s="51"/>
      <c r="AQ211" s="51"/>
      <c r="AR211" s="51"/>
      <c r="AS211" s="51"/>
      <c r="AT211" s="51"/>
      <c r="AU211" s="51"/>
      <c r="AV211" s="51"/>
      <c r="AW211" s="51"/>
      <c r="AX211" s="51"/>
      <c r="AY211" s="51"/>
      <c r="AZ211" s="51"/>
    </row>
    <row r="212" spans="1:52" s="52" customFormat="1" ht="244.5" customHeight="1" x14ac:dyDescent="0.4">
      <c r="A212" s="136"/>
      <c r="B212" s="105"/>
      <c r="C212" s="136"/>
      <c r="D212" s="136"/>
      <c r="E212" s="136"/>
      <c r="F212" s="79" t="s">
        <v>34</v>
      </c>
      <c r="G212" s="29">
        <f>H212+I212+J212+K212+L212+M212+N212</f>
        <v>0</v>
      </c>
      <c r="H212" s="30">
        <v>0</v>
      </c>
      <c r="I212" s="29">
        <v>0</v>
      </c>
      <c r="J212" s="29">
        <v>0</v>
      </c>
      <c r="K212" s="29">
        <v>0</v>
      </c>
      <c r="L212" s="29">
        <v>0</v>
      </c>
      <c r="M212" s="29">
        <v>0</v>
      </c>
      <c r="N212" s="29">
        <v>0</v>
      </c>
      <c r="O212" s="29">
        <v>0</v>
      </c>
      <c r="P212" s="146"/>
      <c r="Q212" s="146"/>
      <c r="R212" s="146"/>
      <c r="S212" s="146"/>
      <c r="T212" s="146"/>
      <c r="U212" s="146"/>
      <c r="V212" s="146"/>
      <c r="W212" s="146"/>
      <c r="X212" s="146"/>
      <c r="Y212" s="172"/>
      <c r="Z212" s="172"/>
      <c r="AA212" s="51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/>
      <c r="AL212" s="51"/>
      <c r="AM212" s="51"/>
      <c r="AN212" s="51"/>
      <c r="AO212" s="51"/>
      <c r="AP212" s="51"/>
      <c r="AQ212" s="51"/>
      <c r="AR212" s="51"/>
      <c r="AS212" s="51"/>
      <c r="AT212" s="51"/>
      <c r="AU212" s="51"/>
      <c r="AV212" s="51"/>
      <c r="AW212" s="51"/>
      <c r="AX212" s="51"/>
      <c r="AY212" s="51"/>
      <c r="AZ212" s="51"/>
    </row>
    <row r="213" spans="1:52" s="52" customFormat="1" ht="174" customHeight="1" x14ac:dyDescent="0.4">
      <c r="A213" s="137"/>
      <c r="B213" s="106"/>
      <c r="C213" s="137"/>
      <c r="D213" s="137"/>
      <c r="E213" s="137"/>
      <c r="F213" s="79" t="s">
        <v>35</v>
      </c>
      <c r="G213" s="29">
        <f>H213+I213+J213+K213+L213+M213+N213</f>
        <v>0</v>
      </c>
      <c r="H213" s="30">
        <v>0</v>
      </c>
      <c r="I213" s="29">
        <v>0</v>
      </c>
      <c r="J213" s="29">
        <v>0</v>
      </c>
      <c r="K213" s="29" t="s">
        <v>36</v>
      </c>
      <c r="L213" s="29">
        <v>0</v>
      </c>
      <c r="M213" s="29">
        <v>0</v>
      </c>
      <c r="N213" s="29" t="s">
        <v>36</v>
      </c>
      <c r="O213" s="29" t="s">
        <v>36</v>
      </c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1"/>
      <c r="AB213" s="51"/>
      <c r="AC213" s="51"/>
      <c r="AD213" s="51"/>
      <c r="AE213" s="51"/>
      <c r="AF213" s="51"/>
      <c r="AG213" s="51"/>
      <c r="AH213" s="51"/>
      <c r="AI213" s="51"/>
      <c r="AJ213" s="51"/>
      <c r="AK213" s="51"/>
      <c r="AL213" s="51"/>
      <c r="AM213" s="51"/>
      <c r="AN213" s="51"/>
      <c r="AO213" s="51"/>
      <c r="AP213" s="51"/>
      <c r="AQ213" s="51"/>
      <c r="AR213" s="51"/>
      <c r="AS213" s="51"/>
      <c r="AT213" s="51"/>
      <c r="AU213" s="51"/>
      <c r="AV213" s="51"/>
      <c r="AW213" s="51"/>
      <c r="AX213" s="51"/>
      <c r="AY213" s="51"/>
      <c r="AZ213" s="51"/>
    </row>
    <row r="214" spans="1:52" s="52" customFormat="1" ht="153" customHeight="1" x14ac:dyDescent="0.4">
      <c r="A214" s="135"/>
      <c r="B214" s="104" t="s">
        <v>82</v>
      </c>
      <c r="C214" s="135"/>
      <c r="D214" s="135"/>
      <c r="E214" s="135"/>
      <c r="F214" s="79" t="s">
        <v>33</v>
      </c>
      <c r="G214" s="29">
        <f t="shared" ref="G214:O214" si="69">G215+G216</f>
        <v>0</v>
      </c>
      <c r="H214" s="29">
        <f t="shared" si="69"/>
        <v>0</v>
      </c>
      <c r="I214" s="29">
        <f t="shared" si="69"/>
        <v>0</v>
      </c>
      <c r="J214" s="29">
        <f t="shared" si="69"/>
        <v>0</v>
      </c>
      <c r="K214" s="29">
        <f t="shared" si="69"/>
        <v>0</v>
      </c>
      <c r="L214" s="29">
        <f t="shared" si="69"/>
        <v>0</v>
      </c>
      <c r="M214" s="29">
        <f t="shared" si="69"/>
        <v>0</v>
      </c>
      <c r="N214" s="29">
        <f t="shared" si="69"/>
        <v>0</v>
      </c>
      <c r="O214" s="29">
        <f t="shared" si="69"/>
        <v>0</v>
      </c>
      <c r="P214" s="146"/>
      <c r="Q214" s="146"/>
      <c r="R214" s="146"/>
      <c r="S214" s="146"/>
      <c r="T214" s="146"/>
      <c r="U214" s="146"/>
      <c r="V214" s="146"/>
      <c r="W214" s="146"/>
      <c r="X214" s="146"/>
      <c r="Y214" s="172"/>
      <c r="Z214" s="172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/>
      <c r="AK214" s="51"/>
      <c r="AL214" s="51"/>
      <c r="AM214" s="51"/>
      <c r="AN214" s="51"/>
      <c r="AO214" s="51"/>
      <c r="AP214" s="51"/>
      <c r="AQ214" s="51"/>
      <c r="AR214" s="51"/>
      <c r="AS214" s="51"/>
      <c r="AT214" s="51"/>
      <c r="AU214" s="51"/>
      <c r="AV214" s="51"/>
      <c r="AW214" s="51"/>
      <c r="AX214" s="51"/>
      <c r="AY214" s="51"/>
      <c r="AZ214" s="51"/>
    </row>
    <row r="215" spans="1:52" s="52" customFormat="1" ht="237" customHeight="1" x14ac:dyDescent="0.4">
      <c r="A215" s="136"/>
      <c r="B215" s="105"/>
      <c r="C215" s="136"/>
      <c r="D215" s="136"/>
      <c r="E215" s="136"/>
      <c r="F215" s="79" t="s">
        <v>34</v>
      </c>
      <c r="G215" s="29">
        <f>H215+I215+J215+K215+L215+M215+N215</f>
        <v>0</v>
      </c>
      <c r="H215" s="30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146"/>
      <c r="Q215" s="146"/>
      <c r="R215" s="146"/>
      <c r="S215" s="146"/>
      <c r="T215" s="146"/>
      <c r="U215" s="146"/>
      <c r="V215" s="146"/>
      <c r="W215" s="146"/>
      <c r="X215" s="146"/>
      <c r="Y215" s="172"/>
      <c r="Z215" s="172"/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/>
      <c r="AL215" s="51"/>
      <c r="AM215" s="51"/>
      <c r="AN215" s="51"/>
      <c r="AO215" s="51"/>
      <c r="AP215" s="51"/>
      <c r="AQ215" s="51"/>
      <c r="AR215" s="51"/>
      <c r="AS215" s="51"/>
      <c r="AT215" s="51"/>
      <c r="AU215" s="51"/>
      <c r="AV215" s="51"/>
      <c r="AW215" s="51"/>
      <c r="AX215" s="51"/>
      <c r="AY215" s="51"/>
      <c r="AZ215" s="51"/>
    </row>
    <row r="216" spans="1:52" s="52" customFormat="1" ht="178.5" customHeight="1" x14ac:dyDescent="0.4">
      <c r="A216" s="137"/>
      <c r="B216" s="106"/>
      <c r="C216" s="137"/>
      <c r="D216" s="137"/>
      <c r="E216" s="137"/>
      <c r="F216" s="79" t="s">
        <v>35</v>
      </c>
      <c r="G216" s="29">
        <f>H216+I216+J216+K216+L216+M216+N216</f>
        <v>0</v>
      </c>
      <c r="H216" s="30">
        <v>0</v>
      </c>
      <c r="I216" s="29">
        <v>0</v>
      </c>
      <c r="J216" s="29">
        <v>0</v>
      </c>
      <c r="K216" s="29" t="s">
        <v>36</v>
      </c>
      <c r="L216" s="29">
        <v>0</v>
      </c>
      <c r="M216" s="29">
        <v>0</v>
      </c>
      <c r="N216" s="29" t="s">
        <v>36</v>
      </c>
      <c r="O216" s="29" t="s">
        <v>36</v>
      </c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/>
      <c r="AL216" s="51"/>
      <c r="AM216" s="51"/>
      <c r="AN216" s="51"/>
      <c r="AO216" s="51"/>
      <c r="AP216" s="51"/>
      <c r="AQ216" s="51"/>
      <c r="AR216" s="51"/>
      <c r="AS216" s="51"/>
      <c r="AT216" s="51"/>
      <c r="AU216" s="51"/>
      <c r="AV216" s="51"/>
      <c r="AW216" s="51"/>
      <c r="AX216" s="51"/>
      <c r="AY216" s="51"/>
      <c r="AZ216" s="51"/>
    </row>
    <row r="217" spans="1:52" s="52" customFormat="1" ht="141" customHeight="1" x14ac:dyDescent="0.4">
      <c r="A217" s="135"/>
      <c r="B217" s="104" t="s">
        <v>144</v>
      </c>
      <c r="C217" s="135"/>
      <c r="D217" s="135"/>
      <c r="E217" s="135"/>
      <c r="F217" s="79" t="s">
        <v>33</v>
      </c>
      <c r="G217" s="29">
        <f t="shared" ref="G217:O217" si="70">G218+G219</f>
        <v>115773.98</v>
      </c>
      <c r="H217" s="29">
        <f t="shared" si="70"/>
        <v>0</v>
      </c>
      <c r="I217" s="29">
        <f t="shared" si="70"/>
        <v>0</v>
      </c>
      <c r="J217" s="29">
        <f t="shared" si="70"/>
        <v>0</v>
      </c>
      <c r="K217" s="29">
        <f t="shared" si="70"/>
        <v>0</v>
      </c>
      <c r="L217" s="29">
        <f t="shared" si="70"/>
        <v>0</v>
      </c>
      <c r="M217" s="29">
        <f t="shared" si="70"/>
        <v>115773.98</v>
      </c>
      <c r="N217" s="29">
        <f t="shared" si="70"/>
        <v>0</v>
      </c>
      <c r="O217" s="29">
        <f t="shared" si="70"/>
        <v>0</v>
      </c>
      <c r="P217" s="164" t="s">
        <v>65</v>
      </c>
      <c r="Q217" s="43"/>
      <c r="R217" s="73"/>
      <c r="S217" s="44"/>
      <c r="T217" s="45"/>
      <c r="U217" s="45"/>
      <c r="V217" s="45"/>
      <c r="W217" s="45"/>
      <c r="X217" s="45"/>
      <c r="Y217" s="46"/>
      <c r="Z217" s="46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  <c r="AR217" s="51"/>
      <c r="AS217" s="51"/>
      <c r="AT217" s="51"/>
      <c r="AU217" s="51"/>
      <c r="AV217" s="51"/>
      <c r="AW217" s="51"/>
      <c r="AX217" s="51"/>
      <c r="AY217" s="51"/>
      <c r="AZ217" s="51"/>
    </row>
    <row r="218" spans="1:52" s="52" customFormat="1" ht="244.5" customHeight="1" x14ac:dyDescent="0.4">
      <c r="A218" s="136"/>
      <c r="B218" s="105"/>
      <c r="C218" s="136"/>
      <c r="D218" s="136"/>
      <c r="E218" s="136"/>
      <c r="F218" s="79" t="s">
        <v>34</v>
      </c>
      <c r="G218" s="29">
        <f>H218+I218+J218+K218+L218+M218+N218</f>
        <v>2315.48</v>
      </c>
      <c r="H218" s="30">
        <v>0</v>
      </c>
      <c r="I218" s="29">
        <v>0</v>
      </c>
      <c r="J218" s="29">
        <v>0</v>
      </c>
      <c r="K218" s="29">
        <v>0</v>
      </c>
      <c r="L218" s="29">
        <v>0</v>
      </c>
      <c r="M218" s="29">
        <v>2315.48</v>
      </c>
      <c r="N218" s="29">
        <v>0</v>
      </c>
      <c r="O218" s="29">
        <v>0</v>
      </c>
      <c r="P218" s="165"/>
      <c r="Q218" s="104" t="s">
        <v>61</v>
      </c>
      <c r="R218" s="104"/>
      <c r="S218" s="104">
        <v>0.1</v>
      </c>
      <c r="T218" s="104">
        <v>0.1</v>
      </c>
      <c r="U218" s="104">
        <v>0.1</v>
      </c>
      <c r="V218" s="104">
        <v>0.1</v>
      </c>
      <c r="W218" s="104">
        <v>0.1</v>
      </c>
      <c r="X218" s="104">
        <v>0.1</v>
      </c>
      <c r="Y218" s="133">
        <v>0.1</v>
      </c>
      <c r="Z218" s="133">
        <v>0.1</v>
      </c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51"/>
      <c r="AQ218" s="51"/>
      <c r="AR218" s="51"/>
      <c r="AS218" s="51"/>
      <c r="AT218" s="51"/>
      <c r="AU218" s="51"/>
      <c r="AV218" s="51"/>
      <c r="AW218" s="51"/>
      <c r="AX218" s="51"/>
      <c r="AY218" s="51"/>
      <c r="AZ218" s="51"/>
    </row>
    <row r="219" spans="1:52" s="52" customFormat="1" ht="174" customHeight="1" x14ac:dyDescent="0.4">
      <c r="A219" s="137"/>
      <c r="B219" s="106"/>
      <c r="C219" s="137"/>
      <c r="D219" s="137"/>
      <c r="E219" s="137"/>
      <c r="F219" s="79" t="s">
        <v>35</v>
      </c>
      <c r="G219" s="29">
        <f>H219+I219+J219+K219+L219+M219+N219</f>
        <v>113458.5</v>
      </c>
      <c r="H219" s="30">
        <v>0</v>
      </c>
      <c r="I219" s="29">
        <v>0</v>
      </c>
      <c r="J219" s="29">
        <v>0</v>
      </c>
      <c r="K219" s="29" t="s">
        <v>36</v>
      </c>
      <c r="L219" s="29">
        <v>0</v>
      </c>
      <c r="M219" s="29">
        <v>113458.5</v>
      </c>
      <c r="N219" s="29" t="s">
        <v>36</v>
      </c>
      <c r="O219" s="29" t="s">
        <v>36</v>
      </c>
      <c r="P219" s="166"/>
      <c r="Q219" s="106"/>
      <c r="R219" s="106"/>
      <c r="S219" s="106"/>
      <c r="T219" s="106"/>
      <c r="U219" s="106"/>
      <c r="V219" s="106"/>
      <c r="W219" s="106"/>
      <c r="X219" s="106"/>
      <c r="Y219" s="120"/>
      <c r="Z219" s="120"/>
      <c r="AA219" s="51"/>
      <c r="AB219" s="51"/>
      <c r="AC219" s="51"/>
      <c r="AD219" s="51"/>
      <c r="AE219" s="51"/>
      <c r="AF219" s="51"/>
      <c r="AG219" s="51"/>
      <c r="AH219" s="51"/>
      <c r="AI219" s="51"/>
      <c r="AJ219" s="51"/>
      <c r="AK219" s="51"/>
      <c r="AL219" s="51"/>
      <c r="AM219" s="51"/>
      <c r="AN219" s="51"/>
      <c r="AO219" s="51"/>
      <c r="AP219" s="51"/>
      <c r="AQ219" s="51"/>
      <c r="AR219" s="51"/>
      <c r="AS219" s="51"/>
      <c r="AT219" s="51"/>
      <c r="AU219" s="51"/>
      <c r="AV219" s="51"/>
      <c r="AW219" s="51"/>
      <c r="AX219" s="51"/>
      <c r="AY219" s="51"/>
      <c r="AZ219" s="51"/>
    </row>
    <row r="220" spans="1:52" s="52" customFormat="1" ht="262.5" customHeight="1" x14ac:dyDescent="0.4">
      <c r="A220" s="56"/>
      <c r="B220" s="79" t="s">
        <v>139</v>
      </c>
      <c r="C220" s="24">
        <v>2019</v>
      </c>
      <c r="D220" s="24">
        <v>2026</v>
      </c>
      <c r="E220" s="25"/>
      <c r="F220" s="79" t="s">
        <v>32</v>
      </c>
      <c r="G220" s="29" t="s">
        <v>32</v>
      </c>
      <c r="H220" s="30" t="s">
        <v>32</v>
      </c>
      <c r="I220" s="29" t="s">
        <v>32</v>
      </c>
      <c r="J220" s="29" t="s">
        <v>32</v>
      </c>
      <c r="K220" s="29" t="s">
        <v>32</v>
      </c>
      <c r="L220" s="29" t="s">
        <v>32</v>
      </c>
      <c r="M220" s="29" t="s">
        <v>32</v>
      </c>
      <c r="N220" s="29" t="s">
        <v>32</v>
      </c>
      <c r="O220" s="29" t="s">
        <v>32</v>
      </c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1"/>
      <c r="AB220" s="51"/>
      <c r="AC220" s="51"/>
      <c r="AD220" s="51"/>
      <c r="AE220" s="51"/>
      <c r="AF220" s="51"/>
      <c r="AG220" s="51"/>
      <c r="AH220" s="51"/>
      <c r="AI220" s="51"/>
      <c r="AJ220" s="51"/>
      <c r="AK220" s="51"/>
      <c r="AL220" s="51"/>
      <c r="AM220" s="51"/>
      <c r="AN220" s="51"/>
      <c r="AO220" s="51"/>
      <c r="AP220" s="51"/>
      <c r="AQ220" s="51"/>
      <c r="AR220" s="51"/>
      <c r="AS220" s="51"/>
      <c r="AT220" s="51"/>
      <c r="AU220" s="51"/>
      <c r="AV220" s="51"/>
      <c r="AW220" s="51"/>
      <c r="AX220" s="51"/>
      <c r="AY220" s="51"/>
      <c r="AZ220" s="51"/>
    </row>
    <row r="221" spans="1:52" s="52" customFormat="1" ht="79.5" customHeight="1" x14ac:dyDescent="0.4">
      <c r="A221" s="70"/>
      <c r="B221" s="145" t="s">
        <v>121</v>
      </c>
      <c r="C221" s="69"/>
      <c r="D221" s="69"/>
      <c r="E221" s="69"/>
      <c r="F221" s="79" t="s">
        <v>33</v>
      </c>
      <c r="G221" s="29">
        <f t="shared" ref="G221:O221" si="71">G222+G223</f>
        <v>74462109.700000003</v>
      </c>
      <c r="H221" s="29">
        <f t="shared" si="71"/>
        <v>2040816.33</v>
      </c>
      <c r="I221" s="29">
        <f t="shared" si="71"/>
        <v>15323394.949999999</v>
      </c>
      <c r="J221" s="29">
        <f t="shared" si="71"/>
        <v>9888863.9699999988</v>
      </c>
      <c r="K221" s="29">
        <f t="shared" si="71"/>
        <v>32665888.34</v>
      </c>
      <c r="L221" s="29">
        <f t="shared" si="71"/>
        <v>14543146.109999999</v>
      </c>
      <c r="M221" s="29">
        <f t="shared" si="71"/>
        <v>0</v>
      </c>
      <c r="N221" s="29">
        <f t="shared" si="71"/>
        <v>0</v>
      </c>
      <c r="O221" s="29">
        <f t="shared" si="71"/>
        <v>0</v>
      </c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/>
      <c r="AL221" s="51"/>
      <c r="AM221" s="51"/>
      <c r="AN221" s="51"/>
      <c r="AO221" s="51"/>
      <c r="AP221" s="51"/>
      <c r="AQ221" s="51"/>
      <c r="AR221" s="51"/>
      <c r="AS221" s="51"/>
      <c r="AT221" s="51"/>
      <c r="AU221" s="51"/>
      <c r="AV221" s="51"/>
      <c r="AW221" s="51"/>
      <c r="AX221" s="51"/>
      <c r="AY221" s="51"/>
      <c r="AZ221" s="51"/>
    </row>
    <row r="222" spans="1:52" s="52" customFormat="1" ht="288" customHeight="1" x14ac:dyDescent="0.4">
      <c r="A222" s="70"/>
      <c r="B222" s="146"/>
      <c r="C222" s="69"/>
      <c r="D222" s="69"/>
      <c r="E222" s="69"/>
      <c r="F222" s="79" t="s">
        <v>34</v>
      </c>
      <c r="G222" s="29">
        <f>SUM(H222:N222)</f>
        <v>1489242.2</v>
      </c>
      <c r="H222" s="30">
        <f>H225+H228+H231+H234+H237</f>
        <v>40816.33</v>
      </c>
      <c r="I222" s="30">
        <f>I225+I228+I231+I234+I237</f>
        <v>306467.90000000002</v>
      </c>
      <c r="J222" s="30">
        <f t="shared" ref="J222:O223" si="72">J225+J228+J231+J234+J237+J240</f>
        <v>197777.28</v>
      </c>
      <c r="K222" s="30">
        <f t="shared" si="72"/>
        <v>653317.77</v>
      </c>
      <c r="L222" s="30">
        <f t="shared" si="72"/>
        <v>290862.92</v>
      </c>
      <c r="M222" s="30">
        <f t="shared" si="72"/>
        <v>0</v>
      </c>
      <c r="N222" s="30">
        <f t="shared" si="72"/>
        <v>0</v>
      </c>
      <c r="O222" s="30">
        <f t="shared" si="72"/>
        <v>0</v>
      </c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1"/>
      <c r="AB222" s="51"/>
      <c r="AC222" s="51"/>
      <c r="AD222" s="51"/>
      <c r="AE222" s="51"/>
      <c r="AF222" s="51"/>
      <c r="AG222" s="51"/>
      <c r="AH222" s="51"/>
      <c r="AI222" s="51"/>
      <c r="AJ222" s="51"/>
      <c r="AK222" s="51"/>
      <c r="AL222" s="51"/>
      <c r="AM222" s="51"/>
      <c r="AN222" s="51"/>
      <c r="AO222" s="51"/>
      <c r="AP222" s="51"/>
      <c r="AQ222" s="51"/>
      <c r="AR222" s="51"/>
      <c r="AS222" s="51"/>
      <c r="AT222" s="51"/>
      <c r="AU222" s="51"/>
      <c r="AV222" s="51"/>
      <c r="AW222" s="51"/>
      <c r="AX222" s="51"/>
      <c r="AY222" s="51"/>
      <c r="AZ222" s="51"/>
    </row>
    <row r="223" spans="1:52" s="52" customFormat="1" ht="169.5" customHeight="1" x14ac:dyDescent="0.4">
      <c r="A223" s="62"/>
      <c r="B223" s="147"/>
      <c r="C223" s="62"/>
      <c r="D223" s="62"/>
      <c r="E223" s="62"/>
      <c r="F223" s="79" t="s">
        <v>35</v>
      </c>
      <c r="G223" s="29">
        <f>SUM(H223:N223)</f>
        <v>72972867.5</v>
      </c>
      <c r="H223" s="55">
        <f>H226+H229+H232+H235+H238</f>
        <v>2000000</v>
      </c>
      <c r="I223" s="55">
        <f>I226+I229+I232+I235+I238</f>
        <v>15016927.049999999</v>
      </c>
      <c r="J223" s="55">
        <f t="shared" si="72"/>
        <v>9691086.6899999995</v>
      </c>
      <c r="K223" s="55">
        <f t="shared" si="72"/>
        <v>32012570.57</v>
      </c>
      <c r="L223" s="55">
        <f t="shared" si="72"/>
        <v>14252283.189999999</v>
      </c>
      <c r="M223" s="55">
        <f t="shared" si="72"/>
        <v>0</v>
      </c>
      <c r="N223" s="55">
        <f t="shared" si="72"/>
        <v>0</v>
      </c>
      <c r="O223" s="55">
        <f t="shared" si="72"/>
        <v>0</v>
      </c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1"/>
      <c r="AB223" s="51"/>
      <c r="AC223" s="51"/>
      <c r="AD223" s="51"/>
      <c r="AE223" s="51"/>
      <c r="AF223" s="51"/>
      <c r="AG223" s="51"/>
      <c r="AH223" s="51"/>
      <c r="AI223" s="51"/>
      <c r="AJ223" s="51"/>
      <c r="AK223" s="51"/>
      <c r="AL223" s="51"/>
      <c r="AM223" s="51"/>
      <c r="AN223" s="51"/>
      <c r="AO223" s="51"/>
      <c r="AP223" s="51"/>
      <c r="AQ223" s="51"/>
      <c r="AR223" s="51"/>
      <c r="AS223" s="51"/>
      <c r="AT223" s="51"/>
      <c r="AU223" s="51"/>
      <c r="AV223" s="51"/>
      <c r="AW223" s="51"/>
      <c r="AX223" s="51"/>
      <c r="AY223" s="51"/>
      <c r="AZ223" s="51"/>
    </row>
    <row r="224" spans="1:52" s="52" customFormat="1" ht="100.5" customHeight="1" x14ac:dyDescent="0.4">
      <c r="A224" s="70"/>
      <c r="B224" s="104" t="s">
        <v>91</v>
      </c>
      <c r="C224" s="69"/>
      <c r="D224" s="69"/>
      <c r="E224" s="69"/>
      <c r="F224" s="79" t="s">
        <v>33</v>
      </c>
      <c r="G224" s="81">
        <f t="shared" ref="G224:O224" si="73">G225+G226</f>
        <v>2040816.33</v>
      </c>
      <c r="H224" s="81">
        <f t="shared" si="73"/>
        <v>2040816.33</v>
      </c>
      <c r="I224" s="81">
        <f t="shared" si="73"/>
        <v>0</v>
      </c>
      <c r="J224" s="81">
        <f t="shared" si="73"/>
        <v>0</v>
      </c>
      <c r="K224" s="81">
        <f t="shared" si="73"/>
        <v>0</v>
      </c>
      <c r="L224" s="81">
        <f t="shared" si="73"/>
        <v>0</v>
      </c>
      <c r="M224" s="94">
        <f t="shared" si="73"/>
        <v>0</v>
      </c>
      <c r="N224" s="81">
        <f t="shared" si="73"/>
        <v>0</v>
      </c>
      <c r="O224" s="81">
        <f t="shared" si="73"/>
        <v>0</v>
      </c>
      <c r="P224" s="176" t="s">
        <v>119</v>
      </c>
      <c r="Q224" s="95" t="s">
        <v>24</v>
      </c>
      <c r="R224" s="180"/>
      <c r="S224" s="173">
        <v>1</v>
      </c>
      <c r="T224" s="173" t="s">
        <v>11</v>
      </c>
      <c r="U224" s="173" t="s">
        <v>11</v>
      </c>
      <c r="V224" s="173" t="s">
        <v>11</v>
      </c>
      <c r="W224" s="173" t="s">
        <v>11</v>
      </c>
      <c r="X224" s="173" t="s">
        <v>11</v>
      </c>
      <c r="Y224" s="173" t="s">
        <v>11</v>
      </c>
      <c r="Z224" s="173" t="s">
        <v>11</v>
      </c>
      <c r="AA224" s="51"/>
      <c r="AB224" s="51"/>
      <c r="AC224" s="51"/>
      <c r="AD224" s="51"/>
      <c r="AE224" s="51"/>
      <c r="AF224" s="51"/>
      <c r="AG224" s="51"/>
      <c r="AH224" s="51"/>
      <c r="AI224" s="51"/>
      <c r="AJ224" s="51"/>
      <c r="AK224" s="51"/>
      <c r="AL224" s="51"/>
      <c r="AM224" s="51"/>
      <c r="AN224" s="51"/>
      <c r="AO224" s="51"/>
      <c r="AP224" s="51"/>
      <c r="AQ224" s="51"/>
      <c r="AR224" s="51"/>
      <c r="AS224" s="51"/>
      <c r="AT224" s="51"/>
      <c r="AU224" s="51"/>
      <c r="AV224" s="51"/>
      <c r="AW224" s="51"/>
      <c r="AX224" s="51"/>
      <c r="AY224" s="51"/>
      <c r="AZ224" s="51"/>
    </row>
    <row r="225" spans="1:52" s="52" customFormat="1" ht="235.5" customHeight="1" x14ac:dyDescent="0.4">
      <c r="A225" s="70"/>
      <c r="B225" s="105"/>
      <c r="C225" s="69"/>
      <c r="D225" s="69"/>
      <c r="E225" s="69"/>
      <c r="F225" s="79" t="s">
        <v>34</v>
      </c>
      <c r="G225" s="29">
        <f>SUM(H225:N225)</f>
        <v>40816.33</v>
      </c>
      <c r="H225" s="30">
        <v>40816.33</v>
      </c>
      <c r="I225" s="29">
        <v>0</v>
      </c>
      <c r="J225" s="29">
        <v>0</v>
      </c>
      <c r="K225" s="29">
        <v>0</v>
      </c>
      <c r="L225" s="29">
        <v>0</v>
      </c>
      <c r="M225" s="29">
        <v>0</v>
      </c>
      <c r="N225" s="29">
        <v>0</v>
      </c>
      <c r="O225" s="29">
        <v>0</v>
      </c>
      <c r="P225" s="177"/>
      <c r="Q225" s="96"/>
      <c r="R225" s="181"/>
      <c r="S225" s="174"/>
      <c r="T225" s="174"/>
      <c r="U225" s="174"/>
      <c r="V225" s="174"/>
      <c r="W225" s="174"/>
      <c r="X225" s="174"/>
      <c r="Y225" s="174"/>
      <c r="Z225" s="174"/>
      <c r="AA225" s="51"/>
      <c r="AB225" s="51"/>
      <c r="AC225" s="51"/>
      <c r="AD225" s="51"/>
      <c r="AE225" s="51"/>
      <c r="AF225" s="51"/>
      <c r="AG225" s="51"/>
      <c r="AH225" s="51"/>
      <c r="AI225" s="51"/>
      <c r="AJ225" s="51"/>
      <c r="AK225" s="51"/>
      <c r="AL225" s="51"/>
      <c r="AM225" s="51"/>
      <c r="AN225" s="51"/>
      <c r="AO225" s="51"/>
      <c r="AP225" s="51"/>
      <c r="AQ225" s="51"/>
      <c r="AR225" s="51"/>
      <c r="AS225" s="51"/>
      <c r="AT225" s="51"/>
      <c r="AU225" s="51"/>
      <c r="AV225" s="51"/>
      <c r="AW225" s="51"/>
      <c r="AX225" s="51"/>
      <c r="AY225" s="51"/>
      <c r="AZ225" s="51"/>
    </row>
    <row r="226" spans="1:52" s="52" customFormat="1" ht="159" customHeight="1" x14ac:dyDescent="0.4">
      <c r="A226" s="70"/>
      <c r="B226" s="106"/>
      <c r="C226" s="69"/>
      <c r="D226" s="69"/>
      <c r="E226" s="69"/>
      <c r="F226" s="79" t="s">
        <v>35</v>
      </c>
      <c r="G226" s="29">
        <f>SUM(H226:N226)</f>
        <v>2000000</v>
      </c>
      <c r="H226" s="30">
        <v>2000000</v>
      </c>
      <c r="I226" s="29">
        <v>0</v>
      </c>
      <c r="J226" s="29">
        <v>0</v>
      </c>
      <c r="K226" s="29">
        <v>0</v>
      </c>
      <c r="L226" s="29">
        <v>0</v>
      </c>
      <c r="M226" s="29">
        <v>0</v>
      </c>
      <c r="N226" s="29">
        <v>0</v>
      </c>
      <c r="O226" s="29">
        <v>0</v>
      </c>
      <c r="P226" s="178"/>
      <c r="Q226" s="179"/>
      <c r="R226" s="182"/>
      <c r="S226" s="175"/>
      <c r="T226" s="175"/>
      <c r="U226" s="175"/>
      <c r="V226" s="175"/>
      <c r="W226" s="175"/>
      <c r="X226" s="175"/>
      <c r="Y226" s="175"/>
      <c r="Z226" s="175"/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/>
      <c r="AL226" s="51"/>
      <c r="AM226" s="51"/>
      <c r="AN226" s="51"/>
      <c r="AO226" s="51"/>
      <c r="AP226" s="51"/>
      <c r="AQ226" s="51"/>
      <c r="AR226" s="51"/>
      <c r="AS226" s="51"/>
      <c r="AT226" s="51"/>
      <c r="AU226" s="51"/>
      <c r="AV226" s="51"/>
      <c r="AW226" s="51"/>
      <c r="AX226" s="51"/>
      <c r="AY226" s="51"/>
      <c r="AZ226" s="51"/>
    </row>
    <row r="227" spans="1:52" s="52" customFormat="1" ht="101.25" customHeight="1" x14ac:dyDescent="0.4">
      <c r="A227" s="70"/>
      <c r="B227" s="104" t="s">
        <v>102</v>
      </c>
      <c r="C227" s="69"/>
      <c r="D227" s="69"/>
      <c r="E227" s="69"/>
      <c r="F227" s="79" t="s">
        <v>33</v>
      </c>
      <c r="G227" s="81">
        <f t="shared" ref="G227:O227" si="74">G228+G229</f>
        <v>15326622.15</v>
      </c>
      <c r="H227" s="81">
        <f t="shared" si="74"/>
        <v>0</v>
      </c>
      <c r="I227" s="81">
        <f t="shared" si="74"/>
        <v>7142857.1399999997</v>
      </c>
      <c r="J227" s="81">
        <f t="shared" si="74"/>
        <v>8183765.0099999998</v>
      </c>
      <c r="K227" s="81">
        <f t="shared" si="74"/>
        <v>0</v>
      </c>
      <c r="L227" s="81">
        <f t="shared" si="74"/>
        <v>0</v>
      </c>
      <c r="M227" s="94">
        <f t="shared" si="74"/>
        <v>0</v>
      </c>
      <c r="N227" s="81">
        <f t="shared" si="74"/>
        <v>0</v>
      </c>
      <c r="O227" s="81">
        <f t="shared" si="74"/>
        <v>0</v>
      </c>
      <c r="P227" s="176" t="s">
        <v>120</v>
      </c>
      <c r="Q227" s="95" t="s">
        <v>24</v>
      </c>
      <c r="R227" s="180"/>
      <c r="S227" s="173" t="s">
        <v>11</v>
      </c>
      <c r="T227" s="173" t="s">
        <v>11</v>
      </c>
      <c r="U227" s="173">
        <v>1</v>
      </c>
      <c r="V227" s="173" t="s">
        <v>11</v>
      </c>
      <c r="W227" s="173" t="s">
        <v>11</v>
      </c>
      <c r="X227" s="173" t="s">
        <v>11</v>
      </c>
      <c r="Y227" s="173" t="s">
        <v>11</v>
      </c>
      <c r="Z227" s="173" t="s">
        <v>11</v>
      </c>
      <c r="AA227" s="51"/>
      <c r="AB227" s="51"/>
      <c r="AC227" s="51"/>
      <c r="AD227" s="51"/>
      <c r="AE227" s="51"/>
      <c r="AF227" s="51"/>
      <c r="AG227" s="51"/>
      <c r="AH227" s="51"/>
      <c r="AI227" s="51"/>
      <c r="AJ227" s="51"/>
      <c r="AK227" s="51"/>
      <c r="AL227" s="51"/>
      <c r="AM227" s="51"/>
      <c r="AN227" s="51"/>
      <c r="AO227" s="51"/>
      <c r="AP227" s="51"/>
      <c r="AQ227" s="51"/>
      <c r="AR227" s="51"/>
      <c r="AS227" s="51"/>
      <c r="AT227" s="51"/>
      <c r="AU227" s="51"/>
      <c r="AV227" s="51"/>
      <c r="AW227" s="51"/>
      <c r="AX227" s="51"/>
      <c r="AY227" s="51"/>
      <c r="AZ227" s="51"/>
    </row>
    <row r="228" spans="1:52" s="52" customFormat="1" ht="233.25" customHeight="1" x14ac:dyDescent="0.4">
      <c r="A228" s="70"/>
      <c r="B228" s="105"/>
      <c r="C228" s="69"/>
      <c r="D228" s="69"/>
      <c r="E228" s="69"/>
      <c r="F228" s="79" t="s">
        <v>34</v>
      </c>
      <c r="G228" s="29">
        <f>SUM(H228:N228)</f>
        <v>306532.44</v>
      </c>
      <c r="H228" s="30">
        <v>0</v>
      </c>
      <c r="I228" s="29">
        <v>142857.14000000001</v>
      </c>
      <c r="J228" s="29">
        <v>163675.29999999999</v>
      </c>
      <c r="K228" s="29">
        <v>0</v>
      </c>
      <c r="L228" s="29">
        <v>0</v>
      </c>
      <c r="M228" s="29">
        <v>0</v>
      </c>
      <c r="N228" s="29">
        <v>0</v>
      </c>
      <c r="O228" s="29">
        <v>0</v>
      </c>
      <c r="P228" s="177"/>
      <c r="Q228" s="96"/>
      <c r="R228" s="181"/>
      <c r="S228" s="174"/>
      <c r="T228" s="174"/>
      <c r="U228" s="174"/>
      <c r="V228" s="174"/>
      <c r="W228" s="174"/>
      <c r="X228" s="174"/>
      <c r="Y228" s="174"/>
      <c r="Z228" s="174"/>
      <c r="AA228" s="51"/>
      <c r="AB228" s="51"/>
      <c r="AC228" s="51"/>
      <c r="AD228" s="51"/>
      <c r="AE228" s="51"/>
      <c r="AF228" s="51"/>
      <c r="AG228" s="51"/>
      <c r="AH228" s="51"/>
      <c r="AI228" s="51"/>
      <c r="AJ228" s="51"/>
      <c r="AK228" s="51"/>
      <c r="AL228" s="51"/>
      <c r="AM228" s="51"/>
      <c r="AN228" s="51"/>
      <c r="AO228" s="51"/>
      <c r="AP228" s="51"/>
      <c r="AQ228" s="51"/>
      <c r="AR228" s="51"/>
      <c r="AS228" s="51"/>
      <c r="AT228" s="51"/>
      <c r="AU228" s="51"/>
      <c r="AV228" s="51"/>
      <c r="AW228" s="51"/>
      <c r="AX228" s="51"/>
      <c r="AY228" s="51"/>
      <c r="AZ228" s="51"/>
    </row>
    <row r="229" spans="1:52" s="52" customFormat="1" ht="222" customHeight="1" x14ac:dyDescent="0.4">
      <c r="A229" s="70"/>
      <c r="B229" s="183"/>
      <c r="C229" s="62"/>
      <c r="D229" s="62"/>
      <c r="E229" s="62"/>
      <c r="F229" s="79" t="s">
        <v>35</v>
      </c>
      <c r="G229" s="29">
        <f>SUM(H229:N229)</f>
        <v>15020089.710000001</v>
      </c>
      <c r="H229" s="30">
        <v>0</v>
      </c>
      <c r="I229" s="29">
        <v>7000000</v>
      </c>
      <c r="J229" s="29">
        <v>8020089.71</v>
      </c>
      <c r="K229" s="29">
        <v>0</v>
      </c>
      <c r="L229" s="29">
        <v>0</v>
      </c>
      <c r="M229" s="29">
        <v>0</v>
      </c>
      <c r="N229" s="29">
        <v>0</v>
      </c>
      <c r="O229" s="29">
        <v>0</v>
      </c>
      <c r="P229" s="178"/>
      <c r="Q229" s="179"/>
      <c r="R229" s="182"/>
      <c r="S229" s="175"/>
      <c r="T229" s="175"/>
      <c r="U229" s="175"/>
      <c r="V229" s="175"/>
      <c r="W229" s="175"/>
      <c r="X229" s="175"/>
      <c r="Y229" s="175"/>
      <c r="Z229" s="175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  <c r="AK229" s="51"/>
      <c r="AL229" s="51"/>
      <c r="AM229" s="51"/>
      <c r="AN229" s="51"/>
      <c r="AO229" s="51"/>
      <c r="AP229" s="51"/>
      <c r="AQ229" s="51"/>
      <c r="AR229" s="51"/>
      <c r="AS229" s="51"/>
      <c r="AT229" s="51"/>
      <c r="AU229" s="51"/>
      <c r="AV229" s="51"/>
      <c r="AW229" s="51"/>
      <c r="AX229" s="51"/>
      <c r="AY229" s="51"/>
      <c r="AZ229" s="51"/>
    </row>
    <row r="230" spans="1:52" s="52" customFormat="1" ht="174" customHeight="1" x14ac:dyDescent="0.4">
      <c r="A230" s="70"/>
      <c r="B230" s="104" t="s">
        <v>98</v>
      </c>
      <c r="C230" s="69"/>
      <c r="D230" s="69"/>
      <c r="E230" s="69"/>
      <c r="F230" s="79" t="s">
        <v>33</v>
      </c>
      <c r="G230" s="29">
        <f t="shared" ref="G230:O230" si="75">G231+G232</f>
        <v>5056839.3499999996</v>
      </c>
      <c r="H230" s="29">
        <f t="shared" si="75"/>
        <v>0</v>
      </c>
      <c r="I230" s="29">
        <f t="shared" si="75"/>
        <v>5056839.3499999996</v>
      </c>
      <c r="J230" s="29">
        <f t="shared" si="75"/>
        <v>0</v>
      </c>
      <c r="K230" s="29">
        <f t="shared" si="75"/>
        <v>0</v>
      </c>
      <c r="L230" s="29">
        <f t="shared" si="75"/>
        <v>0</v>
      </c>
      <c r="M230" s="29">
        <f t="shared" si="75"/>
        <v>0</v>
      </c>
      <c r="N230" s="29">
        <f t="shared" si="75"/>
        <v>0</v>
      </c>
      <c r="O230" s="29">
        <f t="shared" si="75"/>
        <v>0</v>
      </c>
      <c r="P230" s="184" t="s">
        <v>114</v>
      </c>
      <c r="Q230" s="95" t="s">
        <v>24</v>
      </c>
      <c r="R230" s="180"/>
      <c r="S230" s="173" t="s">
        <v>11</v>
      </c>
      <c r="T230" s="173">
        <v>1</v>
      </c>
      <c r="U230" s="173" t="s">
        <v>11</v>
      </c>
      <c r="V230" s="173" t="s">
        <v>11</v>
      </c>
      <c r="W230" s="173" t="s">
        <v>11</v>
      </c>
      <c r="X230" s="173" t="s">
        <v>11</v>
      </c>
      <c r="Y230" s="173" t="s">
        <v>11</v>
      </c>
      <c r="Z230" s="173" t="s">
        <v>11</v>
      </c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51"/>
      <c r="AN230" s="51"/>
      <c r="AO230" s="51"/>
      <c r="AP230" s="51"/>
      <c r="AQ230" s="51"/>
      <c r="AR230" s="51"/>
      <c r="AS230" s="51"/>
      <c r="AT230" s="51"/>
      <c r="AU230" s="51"/>
      <c r="AV230" s="51"/>
      <c r="AW230" s="51"/>
      <c r="AX230" s="51"/>
      <c r="AY230" s="51"/>
      <c r="AZ230" s="51"/>
    </row>
    <row r="231" spans="1:52" s="52" customFormat="1" ht="273" customHeight="1" x14ac:dyDescent="0.4">
      <c r="A231" s="70"/>
      <c r="B231" s="105"/>
      <c r="C231" s="69"/>
      <c r="D231" s="69"/>
      <c r="E231" s="69"/>
      <c r="F231" s="79" t="s">
        <v>34</v>
      </c>
      <c r="G231" s="29">
        <f>SUM(H231:N231)</f>
        <v>101136.79</v>
      </c>
      <c r="H231" s="30">
        <v>0</v>
      </c>
      <c r="I231" s="30">
        <v>101136.79</v>
      </c>
      <c r="J231" s="30">
        <v>0</v>
      </c>
      <c r="K231" s="30">
        <v>0</v>
      </c>
      <c r="L231" s="30">
        <v>0</v>
      </c>
      <c r="M231" s="30">
        <v>0</v>
      </c>
      <c r="N231" s="30">
        <v>0</v>
      </c>
      <c r="O231" s="30">
        <v>0</v>
      </c>
      <c r="P231" s="185"/>
      <c r="Q231" s="96"/>
      <c r="R231" s="181"/>
      <c r="S231" s="174"/>
      <c r="T231" s="174"/>
      <c r="U231" s="174"/>
      <c r="V231" s="174"/>
      <c r="W231" s="174"/>
      <c r="X231" s="174"/>
      <c r="Y231" s="174"/>
      <c r="Z231" s="174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  <c r="AK231" s="51"/>
      <c r="AL231" s="51"/>
      <c r="AM231" s="51"/>
      <c r="AN231" s="51"/>
      <c r="AO231" s="51"/>
      <c r="AP231" s="51"/>
      <c r="AQ231" s="51"/>
      <c r="AR231" s="51"/>
      <c r="AS231" s="51"/>
      <c r="AT231" s="51"/>
      <c r="AU231" s="51"/>
      <c r="AV231" s="51"/>
      <c r="AW231" s="51"/>
      <c r="AX231" s="51"/>
      <c r="AY231" s="51"/>
      <c r="AZ231" s="51"/>
    </row>
    <row r="232" spans="1:52" s="52" customFormat="1" ht="163.5" customHeight="1" x14ac:dyDescent="0.4">
      <c r="A232" s="70"/>
      <c r="B232" s="183"/>
      <c r="C232" s="69"/>
      <c r="D232" s="69"/>
      <c r="E232" s="69"/>
      <c r="F232" s="79" t="s">
        <v>35</v>
      </c>
      <c r="G232" s="29">
        <f>SUM(H232:N232)</f>
        <v>4955702.5599999996</v>
      </c>
      <c r="H232" s="30">
        <v>0</v>
      </c>
      <c r="I232" s="30">
        <f>99114.05+4856588.51</f>
        <v>4955702.5599999996</v>
      </c>
      <c r="J232" s="30"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186"/>
      <c r="Q232" s="179"/>
      <c r="R232" s="182"/>
      <c r="S232" s="175"/>
      <c r="T232" s="175"/>
      <c r="U232" s="175"/>
      <c r="V232" s="175"/>
      <c r="W232" s="175"/>
      <c r="X232" s="175"/>
      <c r="Y232" s="175"/>
      <c r="Z232" s="175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  <c r="AK232" s="51"/>
      <c r="AL232" s="51"/>
      <c r="AM232" s="51"/>
      <c r="AN232" s="51"/>
      <c r="AO232" s="51"/>
      <c r="AP232" s="51"/>
      <c r="AQ232" s="51"/>
      <c r="AR232" s="51"/>
      <c r="AS232" s="51"/>
      <c r="AT232" s="51"/>
      <c r="AU232" s="51"/>
      <c r="AV232" s="51"/>
      <c r="AW232" s="51"/>
      <c r="AX232" s="51"/>
      <c r="AY232" s="51"/>
      <c r="AZ232" s="51"/>
    </row>
    <row r="233" spans="1:52" s="52" customFormat="1" ht="106.5" customHeight="1" x14ac:dyDescent="0.4">
      <c r="A233" s="70"/>
      <c r="B233" s="187" t="s">
        <v>99</v>
      </c>
      <c r="C233" s="69"/>
      <c r="D233" s="69"/>
      <c r="E233" s="69"/>
      <c r="F233" s="79" t="s">
        <v>33</v>
      </c>
      <c r="G233" s="29">
        <f t="shared" ref="G233:O233" si="76">G234+G235</f>
        <v>3123698.4600000004</v>
      </c>
      <c r="H233" s="29">
        <f t="shared" si="76"/>
        <v>0</v>
      </c>
      <c r="I233" s="29">
        <f t="shared" si="76"/>
        <v>3123698.4600000004</v>
      </c>
      <c r="J233" s="29">
        <f t="shared" si="76"/>
        <v>0</v>
      </c>
      <c r="K233" s="29">
        <f t="shared" si="76"/>
        <v>0</v>
      </c>
      <c r="L233" s="29">
        <f t="shared" si="76"/>
        <v>0</v>
      </c>
      <c r="M233" s="29">
        <f t="shared" si="76"/>
        <v>0</v>
      </c>
      <c r="N233" s="29">
        <f t="shared" si="76"/>
        <v>0</v>
      </c>
      <c r="O233" s="29">
        <f t="shared" si="76"/>
        <v>0</v>
      </c>
      <c r="P233" s="184" t="s">
        <v>113</v>
      </c>
      <c r="Q233" s="95" t="s">
        <v>24</v>
      </c>
      <c r="R233" s="188"/>
      <c r="S233" s="173" t="s">
        <v>11</v>
      </c>
      <c r="T233" s="173">
        <v>1</v>
      </c>
      <c r="U233" s="173" t="s">
        <v>11</v>
      </c>
      <c r="V233" s="173" t="s">
        <v>11</v>
      </c>
      <c r="W233" s="173" t="s">
        <v>11</v>
      </c>
      <c r="X233" s="173">
        <v>1</v>
      </c>
      <c r="Y233" s="173" t="s">
        <v>11</v>
      </c>
      <c r="Z233" s="173" t="s">
        <v>11</v>
      </c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51"/>
      <c r="AU233" s="51"/>
      <c r="AV233" s="51"/>
      <c r="AW233" s="51"/>
      <c r="AX233" s="51"/>
      <c r="AY233" s="51"/>
      <c r="AZ233" s="51"/>
    </row>
    <row r="234" spans="1:52" s="52" customFormat="1" ht="229.5" customHeight="1" x14ac:dyDescent="0.4">
      <c r="A234" s="70"/>
      <c r="B234" s="105"/>
      <c r="C234" s="69"/>
      <c r="D234" s="69"/>
      <c r="E234" s="69"/>
      <c r="F234" s="79" t="s">
        <v>34</v>
      </c>
      <c r="G234" s="29">
        <f>SUM(H234:N234)</f>
        <v>62473.97</v>
      </c>
      <c r="H234" s="30">
        <v>0</v>
      </c>
      <c r="I234" s="30">
        <v>62473.97</v>
      </c>
      <c r="J234" s="30">
        <v>0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185"/>
      <c r="Q234" s="96"/>
      <c r="R234" s="189"/>
      <c r="S234" s="174"/>
      <c r="T234" s="174"/>
      <c r="U234" s="174"/>
      <c r="V234" s="174"/>
      <c r="W234" s="174"/>
      <c r="X234" s="174"/>
      <c r="Y234" s="174"/>
      <c r="Z234" s="174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  <c r="AM234" s="51"/>
      <c r="AN234" s="51"/>
      <c r="AO234" s="51"/>
      <c r="AP234" s="51"/>
      <c r="AQ234" s="51"/>
      <c r="AR234" s="51"/>
      <c r="AS234" s="51"/>
      <c r="AT234" s="51"/>
      <c r="AU234" s="51"/>
      <c r="AV234" s="51"/>
      <c r="AW234" s="51"/>
      <c r="AX234" s="51"/>
      <c r="AY234" s="51"/>
      <c r="AZ234" s="51"/>
    </row>
    <row r="235" spans="1:52" s="52" customFormat="1" ht="174" customHeight="1" x14ac:dyDescent="0.4">
      <c r="A235" s="70"/>
      <c r="B235" s="106"/>
      <c r="C235" s="69"/>
      <c r="D235" s="69"/>
      <c r="E235" s="69"/>
      <c r="F235" s="79" t="s">
        <v>35</v>
      </c>
      <c r="G235" s="29">
        <f>SUM(H235:N235)</f>
        <v>3061224.49</v>
      </c>
      <c r="H235" s="30">
        <v>0</v>
      </c>
      <c r="I235" s="30">
        <v>3061224.49</v>
      </c>
      <c r="J235" s="30">
        <v>0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186"/>
      <c r="Q235" s="179"/>
      <c r="R235" s="190"/>
      <c r="S235" s="175"/>
      <c r="T235" s="175"/>
      <c r="U235" s="175"/>
      <c r="V235" s="175"/>
      <c r="W235" s="175"/>
      <c r="X235" s="175"/>
      <c r="Y235" s="175"/>
      <c r="Z235" s="175"/>
      <c r="AA235" s="51"/>
      <c r="AB235" s="51"/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  <c r="AR235" s="51"/>
      <c r="AS235" s="51"/>
      <c r="AT235" s="51"/>
      <c r="AU235" s="51"/>
      <c r="AV235" s="51"/>
      <c r="AW235" s="51"/>
      <c r="AX235" s="51"/>
      <c r="AY235" s="51"/>
      <c r="AZ235" s="51"/>
    </row>
    <row r="236" spans="1:52" s="52" customFormat="1" ht="135" customHeight="1" x14ac:dyDescent="0.4">
      <c r="A236" s="70"/>
      <c r="B236" s="104" t="s">
        <v>101</v>
      </c>
      <c r="C236" s="69"/>
      <c r="D236" s="69"/>
      <c r="E236" s="69"/>
      <c r="F236" s="79" t="s">
        <v>33</v>
      </c>
      <c r="G236" s="29">
        <f t="shared" ref="G236:O236" si="77">G237+G238</f>
        <v>1705098.96</v>
      </c>
      <c r="H236" s="29">
        <f t="shared" si="77"/>
        <v>0</v>
      </c>
      <c r="I236" s="29">
        <f t="shared" si="77"/>
        <v>0</v>
      </c>
      <c r="J236" s="29">
        <f t="shared" si="77"/>
        <v>1705098.96</v>
      </c>
      <c r="K236" s="29">
        <f t="shared" si="77"/>
        <v>0</v>
      </c>
      <c r="L236" s="29">
        <f t="shared" si="77"/>
        <v>0</v>
      </c>
      <c r="M236" s="29">
        <f t="shared" si="77"/>
        <v>0</v>
      </c>
      <c r="N236" s="29">
        <f t="shared" si="77"/>
        <v>0</v>
      </c>
      <c r="O236" s="29">
        <f t="shared" si="77"/>
        <v>0</v>
      </c>
      <c r="P236" s="176" t="s">
        <v>112</v>
      </c>
      <c r="Q236" s="95" t="s">
        <v>24</v>
      </c>
      <c r="R236" s="180"/>
      <c r="S236" s="173" t="s">
        <v>11</v>
      </c>
      <c r="T236" s="173" t="s">
        <v>11</v>
      </c>
      <c r="U236" s="173">
        <v>1</v>
      </c>
      <c r="V236" s="173" t="s">
        <v>11</v>
      </c>
      <c r="W236" s="173" t="s">
        <v>11</v>
      </c>
      <c r="X236" s="173" t="s">
        <v>11</v>
      </c>
      <c r="Y236" s="173" t="s">
        <v>11</v>
      </c>
      <c r="Z236" s="173" t="s">
        <v>11</v>
      </c>
      <c r="AA236" s="51"/>
      <c r="AB236" s="51"/>
      <c r="AC236" s="51"/>
      <c r="AD236" s="51"/>
      <c r="AE236" s="51"/>
      <c r="AF236" s="51"/>
      <c r="AG236" s="51"/>
      <c r="AH236" s="51"/>
      <c r="AI236" s="51"/>
      <c r="AJ236" s="51"/>
      <c r="AK236" s="51"/>
      <c r="AL236" s="51"/>
      <c r="AM236" s="51"/>
      <c r="AN236" s="51"/>
      <c r="AO236" s="51"/>
      <c r="AP236" s="51"/>
      <c r="AQ236" s="51"/>
      <c r="AR236" s="51"/>
      <c r="AS236" s="51"/>
      <c r="AT236" s="51"/>
      <c r="AU236" s="51"/>
      <c r="AV236" s="51"/>
      <c r="AW236" s="51"/>
      <c r="AX236" s="51"/>
      <c r="AY236" s="51"/>
      <c r="AZ236" s="51"/>
    </row>
    <row r="237" spans="1:52" s="52" customFormat="1" ht="215.25" customHeight="1" x14ac:dyDescent="0.4">
      <c r="A237" s="70"/>
      <c r="B237" s="105"/>
      <c r="C237" s="69"/>
      <c r="D237" s="69"/>
      <c r="E237" s="69"/>
      <c r="F237" s="79" t="s">
        <v>34</v>
      </c>
      <c r="G237" s="29">
        <f>SUM(H237:N237)</f>
        <v>34101.980000000003</v>
      </c>
      <c r="H237" s="30">
        <v>0</v>
      </c>
      <c r="I237" s="30">
        <v>0</v>
      </c>
      <c r="J237" s="30">
        <v>34101.980000000003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177"/>
      <c r="Q237" s="96"/>
      <c r="R237" s="181"/>
      <c r="S237" s="174"/>
      <c r="T237" s="174"/>
      <c r="U237" s="174"/>
      <c r="V237" s="174"/>
      <c r="W237" s="174"/>
      <c r="X237" s="174"/>
      <c r="Y237" s="174"/>
      <c r="Z237" s="174"/>
      <c r="AA237" s="51"/>
      <c r="AB237" s="51"/>
      <c r="AC237" s="51"/>
      <c r="AD237" s="51"/>
      <c r="AE237" s="51"/>
      <c r="AF237" s="51"/>
      <c r="AG237" s="51"/>
      <c r="AH237" s="51"/>
      <c r="AI237" s="51"/>
      <c r="AJ237" s="51"/>
      <c r="AK237" s="51"/>
      <c r="AL237" s="51"/>
      <c r="AM237" s="51"/>
      <c r="AN237" s="51"/>
      <c r="AO237" s="51"/>
      <c r="AP237" s="51"/>
      <c r="AQ237" s="51"/>
      <c r="AR237" s="51"/>
      <c r="AS237" s="51"/>
      <c r="AT237" s="51"/>
      <c r="AU237" s="51"/>
      <c r="AV237" s="51"/>
      <c r="AW237" s="51"/>
      <c r="AX237" s="51"/>
      <c r="AY237" s="51"/>
      <c r="AZ237" s="51"/>
    </row>
    <row r="238" spans="1:52" s="52" customFormat="1" ht="174" customHeight="1" x14ac:dyDescent="0.4">
      <c r="A238" s="70"/>
      <c r="B238" s="183"/>
      <c r="C238" s="69"/>
      <c r="D238" s="69"/>
      <c r="E238" s="69"/>
      <c r="F238" s="79" t="s">
        <v>35</v>
      </c>
      <c r="G238" s="29">
        <f>SUM(H238:N238)</f>
        <v>1670996.98</v>
      </c>
      <c r="H238" s="30">
        <v>0</v>
      </c>
      <c r="I238" s="30">
        <v>0</v>
      </c>
      <c r="J238" s="30">
        <v>1670996.98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178"/>
      <c r="Q238" s="179"/>
      <c r="R238" s="182"/>
      <c r="S238" s="175"/>
      <c r="T238" s="175"/>
      <c r="U238" s="175"/>
      <c r="V238" s="175"/>
      <c r="W238" s="175"/>
      <c r="X238" s="175"/>
      <c r="Y238" s="175"/>
      <c r="Z238" s="175"/>
      <c r="AA238" s="51"/>
      <c r="AB238" s="51"/>
      <c r="AC238" s="51"/>
      <c r="AD238" s="51"/>
      <c r="AE238" s="51"/>
      <c r="AF238" s="51"/>
      <c r="AG238" s="51"/>
      <c r="AH238" s="51"/>
      <c r="AI238" s="51"/>
      <c r="AJ238" s="51"/>
      <c r="AK238" s="51"/>
      <c r="AL238" s="51"/>
      <c r="AM238" s="51"/>
      <c r="AN238" s="51"/>
      <c r="AO238" s="51"/>
      <c r="AP238" s="51"/>
      <c r="AQ238" s="51"/>
      <c r="AR238" s="51"/>
      <c r="AS238" s="51"/>
      <c r="AT238" s="51"/>
      <c r="AU238" s="51"/>
      <c r="AV238" s="51"/>
      <c r="AW238" s="51"/>
      <c r="AX238" s="51"/>
      <c r="AY238" s="51"/>
      <c r="AZ238" s="51"/>
    </row>
    <row r="239" spans="1:52" s="52" customFormat="1" ht="114" customHeight="1" x14ac:dyDescent="0.4">
      <c r="A239" s="70"/>
      <c r="B239" s="104" t="s">
        <v>126</v>
      </c>
      <c r="C239" s="69"/>
      <c r="D239" s="69"/>
      <c r="E239" s="69"/>
      <c r="F239" s="79" t="s">
        <v>33</v>
      </c>
      <c r="G239" s="29">
        <f t="shared" ref="G239:O239" si="78">G240+G241</f>
        <v>47209034.449999996</v>
      </c>
      <c r="H239" s="29">
        <f t="shared" si="78"/>
        <v>0</v>
      </c>
      <c r="I239" s="29">
        <f t="shared" si="78"/>
        <v>0</v>
      </c>
      <c r="J239" s="29">
        <f t="shared" si="78"/>
        <v>0</v>
      </c>
      <c r="K239" s="29">
        <f t="shared" si="78"/>
        <v>32665888.34</v>
      </c>
      <c r="L239" s="29">
        <f t="shared" si="78"/>
        <v>14543146.109999999</v>
      </c>
      <c r="M239" s="29">
        <f t="shared" si="78"/>
        <v>0</v>
      </c>
      <c r="N239" s="29">
        <f t="shared" si="78"/>
        <v>0</v>
      </c>
      <c r="O239" s="29">
        <f t="shared" si="78"/>
        <v>0</v>
      </c>
      <c r="P239" s="176" t="s">
        <v>120</v>
      </c>
      <c r="Q239" s="95" t="s">
        <v>24</v>
      </c>
      <c r="R239" s="180"/>
      <c r="S239" s="173" t="s">
        <v>11</v>
      </c>
      <c r="T239" s="173" t="s">
        <v>11</v>
      </c>
      <c r="U239" s="173" t="s">
        <v>11</v>
      </c>
      <c r="V239" s="173">
        <v>1</v>
      </c>
      <c r="W239" s="173">
        <v>1</v>
      </c>
      <c r="X239" s="173" t="s">
        <v>11</v>
      </c>
      <c r="Y239" s="173" t="s">
        <v>11</v>
      </c>
      <c r="Z239" s="173" t="s">
        <v>11</v>
      </c>
      <c r="AA239" s="51"/>
      <c r="AB239" s="51"/>
      <c r="AC239" s="51"/>
      <c r="AD239" s="51"/>
      <c r="AE239" s="51"/>
      <c r="AF239" s="51"/>
      <c r="AG239" s="51"/>
      <c r="AH239" s="51"/>
      <c r="AI239" s="51"/>
      <c r="AJ239" s="51"/>
      <c r="AK239" s="51"/>
      <c r="AL239" s="51"/>
      <c r="AM239" s="51"/>
      <c r="AN239" s="51"/>
      <c r="AO239" s="51"/>
      <c r="AP239" s="51"/>
      <c r="AQ239" s="51"/>
      <c r="AR239" s="51"/>
      <c r="AS239" s="51"/>
      <c r="AT239" s="51"/>
      <c r="AU239" s="51"/>
      <c r="AV239" s="51"/>
      <c r="AW239" s="51"/>
      <c r="AX239" s="51"/>
      <c r="AY239" s="51"/>
      <c r="AZ239" s="51"/>
    </row>
    <row r="240" spans="1:52" s="52" customFormat="1" ht="205.5" customHeight="1" x14ac:dyDescent="0.4">
      <c r="A240" s="70"/>
      <c r="B240" s="105"/>
      <c r="C240" s="69"/>
      <c r="D240" s="69"/>
      <c r="E240" s="69"/>
      <c r="F240" s="79" t="s">
        <v>34</v>
      </c>
      <c r="G240" s="29">
        <f>SUM(H240:N240)</f>
        <v>944180.69</v>
      </c>
      <c r="H240" s="30">
        <v>0</v>
      </c>
      <c r="I240" s="30">
        <v>0</v>
      </c>
      <c r="J240" s="30">
        <v>0</v>
      </c>
      <c r="K240" s="30">
        <v>653317.77</v>
      </c>
      <c r="L240" s="30">
        <v>290862.92</v>
      </c>
      <c r="M240" s="30">
        <v>0</v>
      </c>
      <c r="N240" s="30">
        <v>0</v>
      </c>
      <c r="O240" s="30">
        <v>0</v>
      </c>
      <c r="P240" s="177"/>
      <c r="Q240" s="96"/>
      <c r="R240" s="181"/>
      <c r="S240" s="174"/>
      <c r="T240" s="174"/>
      <c r="U240" s="174"/>
      <c r="V240" s="174"/>
      <c r="W240" s="174"/>
      <c r="X240" s="174"/>
      <c r="Y240" s="174"/>
      <c r="Z240" s="174"/>
      <c r="AA240" s="51"/>
      <c r="AB240" s="51"/>
      <c r="AC240" s="51"/>
      <c r="AD240" s="51"/>
      <c r="AE240" s="51"/>
      <c r="AF240" s="51"/>
      <c r="AG240" s="51"/>
      <c r="AH240" s="51"/>
      <c r="AI240" s="51"/>
      <c r="AJ240" s="51"/>
      <c r="AK240" s="51"/>
      <c r="AL240" s="51"/>
      <c r="AM240" s="51"/>
      <c r="AN240" s="51"/>
      <c r="AO240" s="51"/>
      <c r="AP240" s="51"/>
      <c r="AQ240" s="51"/>
      <c r="AR240" s="51"/>
      <c r="AS240" s="51"/>
      <c r="AT240" s="51"/>
      <c r="AU240" s="51"/>
      <c r="AV240" s="51"/>
      <c r="AW240" s="51"/>
      <c r="AX240" s="51"/>
      <c r="AY240" s="51"/>
      <c r="AZ240" s="51"/>
    </row>
    <row r="241" spans="1:52" s="52" customFormat="1" ht="174" customHeight="1" x14ac:dyDescent="0.4">
      <c r="A241" s="70"/>
      <c r="B241" s="183"/>
      <c r="C241" s="69"/>
      <c r="D241" s="69"/>
      <c r="E241" s="69"/>
      <c r="F241" s="79" t="s">
        <v>35</v>
      </c>
      <c r="G241" s="29">
        <f>SUM(H241:N241)</f>
        <v>46264853.759999998</v>
      </c>
      <c r="H241" s="30">
        <v>0</v>
      </c>
      <c r="I241" s="30">
        <v>0</v>
      </c>
      <c r="J241" s="30">
        <v>0</v>
      </c>
      <c r="K241" s="30">
        <f>3521382.76+28491187.81</f>
        <v>32012570.57</v>
      </c>
      <c r="L241" s="30">
        <v>14252283.189999999</v>
      </c>
      <c r="M241" s="30">
        <v>0</v>
      </c>
      <c r="N241" s="30">
        <v>0</v>
      </c>
      <c r="O241" s="30">
        <v>0</v>
      </c>
      <c r="P241" s="178"/>
      <c r="Q241" s="179"/>
      <c r="R241" s="182"/>
      <c r="S241" s="175"/>
      <c r="T241" s="175"/>
      <c r="U241" s="175"/>
      <c r="V241" s="175"/>
      <c r="W241" s="175"/>
      <c r="X241" s="175"/>
      <c r="Y241" s="175"/>
      <c r="Z241" s="175"/>
      <c r="AA241" s="51"/>
      <c r="AB241" s="51"/>
      <c r="AC241" s="51"/>
      <c r="AD241" s="51"/>
      <c r="AE241" s="51"/>
      <c r="AF241" s="51"/>
      <c r="AG241" s="51"/>
      <c r="AH241" s="51"/>
      <c r="AI241" s="51"/>
      <c r="AJ241" s="51"/>
      <c r="AK241" s="51"/>
      <c r="AL241" s="51"/>
      <c r="AM241" s="51"/>
      <c r="AN241" s="51"/>
      <c r="AO241" s="51"/>
      <c r="AP241" s="51"/>
      <c r="AQ241" s="51"/>
      <c r="AR241" s="51"/>
      <c r="AS241" s="51"/>
      <c r="AT241" s="51"/>
      <c r="AU241" s="51"/>
      <c r="AV241" s="51"/>
      <c r="AW241" s="51"/>
      <c r="AX241" s="51"/>
      <c r="AY241" s="51"/>
      <c r="AZ241" s="51"/>
    </row>
    <row r="242" spans="1:52" s="52" customFormat="1" ht="94.5" customHeight="1" x14ac:dyDescent="0.4">
      <c r="A242" s="70"/>
      <c r="B242" s="145" t="s">
        <v>122</v>
      </c>
      <c r="C242" s="69"/>
      <c r="D242" s="69"/>
      <c r="E242" s="69"/>
      <c r="F242" s="79" t="s">
        <v>33</v>
      </c>
      <c r="G242" s="29">
        <f t="shared" ref="G242:O242" si="79">G243+G244</f>
        <v>260306.96000000002</v>
      </c>
      <c r="H242" s="29">
        <f t="shared" si="79"/>
        <v>0</v>
      </c>
      <c r="I242" s="29">
        <f t="shared" si="79"/>
        <v>0</v>
      </c>
      <c r="J242" s="29">
        <f t="shared" si="79"/>
        <v>0</v>
      </c>
      <c r="K242" s="29">
        <f t="shared" si="79"/>
        <v>156183.67000000001</v>
      </c>
      <c r="L242" s="29">
        <f t="shared" si="79"/>
        <v>104123.29000000001</v>
      </c>
      <c r="M242" s="29">
        <f t="shared" si="79"/>
        <v>0</v>
      </c>
      <c r="N242" s="53">
        <f t="shared" si="79"/>
        <v>0</v>
      </c>
      <c r="O242" s="53">
        <f t="shared" si="79"/>
        <v>0</v>
      </c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1"/>
      <c r="AB242" s="51"/>
      <c r="AC242" s="51"/>
      <c r="AD242" s="51"/>
      <c r="AE242" s="51"/>
      <c r="AF242" s="51"/>
      <c r="AG242" s="51"/>
      <c r="AH242" s="51"/>
      <c r="AI242" s="51"/>
      <c r="AJ242" s="51"/>
      <c r="AK242" s="51"/>
      <c r="AL242" s="51"/>
      <c r="AM242" s="51"/>
      <c r="AN242" s="51"/>
      <c r="AO242" s="51"/>
      <c r="AP242" s="51"/>
      <c r="AQ242" s="51"/>
      <c r="AR242" s="51"/>
      <c r="AS242" s="51"/>
      <c r="AT242" s="51"/>
      <c r="AU242" s="51"/>
      <c r="AV242" s="51"/>
      <c r="AW242" s="51"/>
      <c r="AX242" s="51"/>
      <c r="AY242" s="51"/>
      <c r="AZ242" s="51"/>
    </row>
    <row r="243" spans="1:52" s="52" customFormat="1" ht="245.25" customHeight="1" x14ac:dyDescent="0.4">
      <c r="A243" s="70"/>
      <c r="B243" s="146"/>
      <c r="C243" s="69"/>
      <c r="D243" s="69"/>
      <c r="E243" s="69"/>
      <c r="F243" s="79" t="s">
        <v>34</v>
      </c>
      <c r="G243" s="29">
        <f>SUM(H243:N243)</f>
        <v>5206.1399999999994</v>
      </c>
      <c r="H243" s="30">
        <f t="shared" ref="H243:O244" si="80">H246</f>
        <v>0</v>
      </c>
      <c r="I243" s="30">
        <f t="shared" si="80"/>
        <v>0</v>
      </c>
      <c r="J243" s="30">
        <f t="shared" si="80"/>
        <v>0</v>
      </c>
      <c r="K243" s="30">
        <f t="shared" si="80"/>
        <v>3123.67</v>
      </c>
      <c r="L243" s="30">
        <f t="shared" si="80"/>
        <v>2082.4699999999998</v>
      </c>
      <c r="M243" s="30">
        <f t="shared" si="80"/>
        <v>0</v>
      </c>
      <c r="N243" s="30">
        <f t="shared" si="80"/>
        <v>0</v>
      </c>
      <c r="O243" s="30">
        <f t="shared" si="80"/>
        <v>0</v>
      </c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1"/>
      <c r="AB243" s="51"/>
      <c r="AC243" s="51"/>
      <c r="AD243" s="51"/>
      <c r="AE243" s="51"/>
      <c r="AF243" s="51"/>
      <c r="AG243" s="51"/>
      <c r="AH243" s="51"/>
      <c r="AI243" s="51"/>
      <c r="AJ243" s="51"/>
      <c r="AK243" s="51"/>
      <c r="AL243" s="51"/>
      <c r="AM243" s="51"/>
      <c r="AN243" s="51"/>
      <c r="AO243" s="51"/>
      <c r="AP243" s="51"/>
      <c r="AQ243" s="51"/>
      <c r="AR243" s="51"/>
      <c r="AS243" s="51"/>
      <c r="AT243" s="51"/>
      <c r="AU243" s="51"/>
      <c r="AV243" s="51"/>
      <c r="AW243" s="51"/>
      <c r="AX243" s="51"/>
      <c r="AY243" s="51"/>
      <c r="AZ243" s="51"/>
    </row>
    <row r="244" spans="1:52" s="52" customFormat="1" ht="165" customHeight="1" x14ac:dyDescent="0.4">
      <c r="A244" s="62"/>
      <c r="B244" s="147"/>
      <c r="C244" s="62"/>
      <c r="D244" s="62"/>
      <c r="E244" s="62"/>
      <c r="F244" s="79" t="s">
        <v>35</v>
      </c>
      <c r="G244" s="29">
        <f>SUM(H244:N244)</f>
        <v>255100.82</v>
      </c>
      <c r="H244" s="30">
        <f t="shared" si="80"/>
        <v>0</v>
      </c>
      <c r="I244" s="30">
        <f t="shared" si="80"/>
        <v>0</v>
      </c>
      <c r="J244" s="30">
        <f t="shared" si="80"/>
        <v>0</v>
      </c>
      <c r="K244" s="30">
        <f t="shared" si="80"/>
        <v>153060</v>
      </c>
      <c r="L244" s="30">
        <f t="shared" si="80"/>
        <v>102040.82</v>
      </c>
      <c r="M244" s="30">
        <f t="shared" si="80"/>
        <v>0</v>
      </c>
      <c r="N244" s="30">
        <f t="shared" si="80"/>
        <v>0</v>
      </c>
      <c r="O244" s="30">
        <f t="shared" si="80"/>
        <v>0</v>
      </c>
      <c r="P244" s="59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1"/>
      <c r="AB244" s="51"/>
      <c r="AC244" s="51"/>
      <c r="AD244" s="51"/>
      <c r="AE244" s="51"/>
      <c r="AF244" s="51"/>
      <c r="AG244" s="51"/>
      <c r="AH244" s="51"/>
      <c r="AI244" s="51"/>
      <c r="AJ244" s="51"/>
      <c r="AK244" s="51"/>
      <c r="AL244" s="51"/>
      <c r="AM244" s="51"/>
      <c r="AN244" s="51"/>
      <c r="AO244" s="51"/>
      <c r="AP244" s="51"/>
      <c r="AQ244" s="51"/>
      <c r="AR244" s="51"/>
      <c r="AS244" s="51"/>
      <c r="AT244" s="51"/>
      <c r="AU244" s="51"/>
      <c r="AV244" s="51"/>
      <c r="AW244" s="51"/>
      <c r="AX244" s="51"/>
      <c r="AY244" s="51"/>
      <c r="AZ244" s="51"/>
    </row>
    <row r="245" spans="1:52" s="52" customFormat="1" ht="99.75" customHeight="1" x14ac:dyDescent="0.4">
      <c r="A245" s="70"/>
      <c r="B245" s="104" t="s">
        <v>123</v>
      </c>
      <c r="C245" s="69"/>
      <c r="D245" s="69"/>
      <c r="E245" s="69"/>
      <c r="F245" s="79" t="s">
        <v>33</v>
      </c>
      <c r="G245" s="81">
        <f t="shared" ref="G245:O245" si="81">G246+G247</f>
        <v>260306.96000000002</v>
      </c>
      <c r="H245" s="81">
        <f t="shared" si="81"/>
        <v>0</v>
      </c>
      <c r="I245" s="81">
        <f t="shared" si="81"/>
        <v>0</v>
      </c>
      <c r="J245" s="81">
        <f t="shared" si="81"/>
        <v>0</v>
      </c>
      <c r="K245" s="81">
        <f t="shared" si="81"/>
        <v>156183.67000000001</v>
      </c>
      <c r="L245" s="81">
        <f t="shared" si="81"/>
        <v>104123.29000000001</v>
      </c>
      <c r="M245" s="94">
        <f t="shared" si="81"/>
        <v>0</v>
      </c>
      <c r="N245" s="57">
        <f t="shared" si="81"/>
        <v>0</v>
      </c>
      <c r="O245" s="57">
        <f t="shared" si="81"/>
        <v>0</v>
      </c>
      <c r="P245" s="95" t="s">
        <v>127</v>
      </c>
      <c r="Q245" s="95" t="s">
        <v>124</v>
      </c>
      <c r="R245" s="192"/>
      <c r="S245" s="173" t="s">
        <v>11</v>
      </c>
      <c r="T245" s="173" t="s">
        <v>11</v>
      </c>
      <c r="U245" s="173" t="s">
        <v>11</v>
      </c>
      <c r="V245" s="173">
        <v>1</v>
      </c>
      <c r="W245" s="173">
        <v>1</v>
      </c>
      <c r="X245" s="173">
        <v>1</v>
      </c>
      <c r="Y245" s="173">
        <v>1</v>
      </c>
      <c r="Z245" s="173">
        <v>1</v>
      </c>
      <c r="AA245" s="51"/>
      <c r="AB245" s="51"/>
      <c r="AC245" s="51"/>
      <c r="AD245" s="51"/>
      <c r="AE245" s="51"/>
      <c r="AF245" s="51"/>
      <c r="AG245" s="51"/>
      <c r="AH245" s="51"/>
      <c r="AI245" s="51"/>
      <c r="AJ245" s="51"/>
      <c r="AK245" s="51"/>
      <c r="AL245" s="51"/>
      <c r="AM245" s="51"/>
      <c r="AN245" s="51"/>
      <c r="AO245" s="51"/>
      <c r="AP245" s="51"/>
      <c r="AQ245" s="51"/>
      <c r="AR245" s="51"/>
      <c r="AS245" s="51"/>
      <c r="AT245" s="51"/>
      <c r="AU245" s="51"/>
      <c r="AV245" s="51"/>
      <c r="AW245" s="51"/>
      <c r="AX245" s="51"/>
      <c r="AY245" s="51"/>
      <c r="AZ245" s="51"/>
    </row>
    <row r="246" spans="1:52" s="52" customFormat="1" ht="235.5" customHeight="1" x14ac:dyDescent="0.4">
      <c r="A246" s="70"/>
      <c r="B246" s="105"/>
      <c r="C246" s="69"/>
      <c r="D246" s="69"/>
      <c r="E246" s="69"/>
      <c r="F246" s="79" t="s">
        <v>34</v>
      </c>
      <c r="G246" s="29">
        <f>SUM(H246:N246)</f>
        <v>5206.1399999999994</v>
      </c>
      <c r="H246" s="30">
        <v>0</v>
      </c>
      <c r="I246" s="29">
        <v>0</v>
      </c>
      <c r="J246" s="29">
        <v>0</v>
      </c>
      <c r="K246" s="29">
        <f>2082.45+1041.22</f>
        <v>3123.67</v>
      </c>
      <c r="L246" s="29">
        <v>2082.4699999999998</v>
      </c>
      <c r="M246" s="29">
        <v>0</v>
      </c>
      <c r="N246" s="53">
        <v>0</v>
      </c>
      <c r="O246" s="53">
        <v>0</v>
      </c>
      <c r="P246" s="96"/>
      <c r="Q246" s="191"/>
      <c r="R246" s="193"/>
      <c r="S246" s="191"/>
      <c r="T246" s="191"/>
      <c r="U246" s="191"/>
      <c r="V246" s="191"/>
      <c r="W246" s="191"/>
      <c r="X246" s="191"/>
      <c r="Y246" s="191"/>
      <c r="Z246" s="191"/>
      <c r="AA246" s="51"/>
      <c r="AB246" s="51"/>
      <c r="AC246" s="51"/>
      <c r="AD246" s="51"/>
      <c r="AE246" s="51"/>
      <c r="AF246" s="51"/>
      <c r="AG246" s="51"/>
      <c r="AH246" s="51"/>
      <c r="AI246" s="51"/>
      <c r="AJ246" s="51"/>
      <c r="AK246" s="51"/>
      <c r="AL246" s="51"/>
      <c r="AM246" s="51"/>
      <c r="AN246" s="51"/>
      <c r="AO246" s="51"/>
      <c r="AP246" s="51"/>
      <c r="AQ246" s="51"/>
      <c r="AR246" s="51"/>
      <c r="AS246" s="51"/>
      <c r="AT246" s="51"/>
      <c r="AU246" s="51"/>
      <c r="AV246" s="51"/>
      <c r="AW246" s="51"/>
      <c r="AX246" s="51"/>
      <c r="AY246" s="51"/>
      <c r="AZ246" s="51"/>
    </row>
    <row r="247" spans="1:52" s="52" customFormat="1" ht="212.25" customHeight="1" x14ac:dyDescent="0.4">
      <c r="A247" s="70"/>
      <c r="B247" s="106"/>
      <c r="C247" s="69"/>
      <c r="D247" s="69"/>
      <c r="E247" s="69"/>
      <c r="F247" s="79" t="s">
        <v>35</v>
      </c>
      <c r="G247" s="29">
        <f>SUM(H247:N247)</f>
        <v>255100.82</v>
      </c>
      <c r="H247" s="30">
        <v>0</v>
      </c>
      <c r="I247" s="29">
        <v>0</v>
      </c>
      <c r="J247" s="29">
        <v>0</v>
      </c>
      <c r="K247" s="29">
        <f>102040+51020</f>
        <v>153060</v>
      </c>
      <c r="L247" s="29">
        <v>102040.82</v>
      </c>
      <c r="M247" s="29">
        <v>0</v>
      </c>
      <c r="N247" s="53">
        <v>0</v>
      </c>
      <c r="O247" s="53">
        <v>0</v>
      </c>
      <c r="P247" s="179"/>
      <c r="Q247" s="60" t="s">
        <v>125</v>
      </c>
      <c r="R247" s="61"/>
      <c r="S247" s="74" t="s">
        <v>11</v>
      </c>
      <c r="T247" s="74" t="s">
        <v>11</v>
      </c>
      <c r="U247" s="74" t="s">
        <v>11</v>
      </c>
      <c r="V247" s="74">
        <v>1</v>
      </c>
      <c r="W247" s="74">
        <v>1</v>
      </c>
      <c r="X247" s="74">
        <v>1</v>
      </c>
      <c r="Y247" s="74">
        <v>1</v>
      </c>
      <c r="Z247" s="74">
        <v>1</v>
      </c>
      <c r="AA247" s="51"/>
      <c r="AB247" s="51"/>
      <c r="AC247" s="51"/>
      <c r="AD247" s="51"/>
      <c r="AE247" s="51"/>
      <c r="AF247" s="51"/>
      <c r="AG247" s="51"/>
      <c r="AH247" s="51"/>
      <c r="AI247" s="51"/>
      <c r="AJ247" s="51"/>
      <c r="AK247" s="51"/>
      <c r="AL247" s="51"/>
      <c r="AM247" s="51"/>
      <c r="AN247" s="51"/>
      <c r="AO247" s="51"/>
      <c r="AP247" s="51"/>
      <c r="AQ247" s="51"/>
      <c r="AR247" s="51"/>
      <c r="AS247" s="51"/>
      <c r="AT247" s="51"/>
      <c r="AU247" s="51"/>
      <c r="AV247" s="51"/>
      <c r="AW247" s="51"/>
      <c r="AX247" s="51"/>
      <c r="AY247" s="51"/>
      <c r="AZ247" s="51"/>
    </row>
    <row r="248" spans="1:52" s="52" customFormat="1" ht="204" customHeight="1" x14ac:dyDescent="0.4">
      <c r="A248" s="56" t="s">
        <v>135</v>
      </c>
      <c r="B248" s="79" t="s">
        <v>136</v>
      </c>
      <c r="C248" s="24">
        <v>2019</v>
      </c>
      <c r="D248" s="24">
        <v>2026</v>
      </c>
      <c r="E248" s="25"/>
      <c r="F248" s="79" t="s">
        <v>32</v>
      </c>
      <c r="G248" s="29" t="s">
        <v>32</v>
      </c>
      <c r="H248" s="30" t="s">
        <v>32</v>
      </c>
      <c r="I248" s="29" t="s">
        <v>32</v>
      </c>
      <c r="J248" s="29" t="s">
        <v>32</v>
      </c>
      <c r="K248" s="29" t="s">
        <v>32</v>
      </c>
      <c r="L248" s="29" t="s">
        <v>32</v>
      </c>
      <c r="M248" s="29" t="s">
        <v>32</v>
      </c>
      <c r="N248" s="29" t="s">
        <v>32</v>
      </c>
      <c r="O248" s="29" t="s">
        <v>32</v>
      </c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1"/>
      <c r="AB248" s="51"/>
      <c r="AC248" s="51"/>
      <c r="AD248" s="51"/>
      <c r="AE248" s="51"/>
      <c r="AF248" s="51"/>
      <c r="AG248" s="51"/>
      <c r="AH248" s="51"/>
      <c r="AI248" s="51"/>
      <c r="AJ248" s="51"/>
      <c r="AK248" s="51"/>
      <c r="AL248" s="51"/>
      <c r="AM248" s="51"/>
      <c r="AN248" s="51"/>
      <c r="AO248" s="51"/>
      <c r="AP248" s="51"/>
      <c r="AQ248" s="51"/>
      <c r="AR248" s="51"/>
      <c r="AS248" s="51"/>
      <c r="AT248" s="51"/>
      <c r="AU248" s="51"/>
      <c r="AV248" s="51"/>
      <c r="AW248" s="51"/>
      <c r="AX248" s="51"/>
      <c r="AY248" s="51"/>
      <c r="AZ248" s="51"/>
    </row>
    <row r="249" spans="1:52" s="52" customFormat="1" ht="145.5" hidden="1" customHeight="1" x14ac:dyDescent="0.4">
      <c r="A249" s="70"/>
      <c r="B249" s="104" t="s">
        <v>121</v>
      </c>
      <c r="C249" s="69"/>
      <c r="D249" s="69"/>
      <c r="E249" s="69"/>
      <c r="F249" s="79" t="s">
        <v>33</v>
      </c>
      <c r="G249" s="29">
        <f t="shared" ref="G249:O249" si="82">G250+G251</f>
        <v>74462109.700000003</v>
      </c>
      <c r="H249" s="29">
        <f t="shared" si="82"/>
        <v>2040816.33</v>
      </c>
      <c r="I249" s="29">
        <f t="shared" si="82"/>
        <v>15323394.949999999</v>
      </c>
      <c r="J249" s="29">
        <f t="shared" si="82"/>
        <v>9888863.9699999988</v>
      </c>
      <c r="K249" s="29">
        <f t="shared" si="82"/>
        <v>32665888.34</v>
      </c>
      <c r="L249" s="29">
        <f t="shared" si="82"/>
        <v>14543146.109999999</v>
      </c>
      <c r="M249" s="29">
        <f t="shared" si="82"/>
        <v>0</v>
      </c>
      <c r="N249" s="29">
        <f t="shared" si="82"/>
        <v>0</v>
      </c>
      <c r="O249" s="29">
        <f t="shared" si="82"/>
        <v>0</v>
      </c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1"/>
      <c r="AB249" s="51"/>
      <c r="AC249" s="51"/>
      <c r="AD249" s="51"/>
      <c r="AE249" s="51"/>
      <c r="AF249" s="51"/>
      <c r="AG249" s="51"/>
      <c r="AH249" s="51"/>
      <c r="AI249" s="51"/>
      <c r="AJ249" s="51"/>
      <c r="AK249" s="51"/>
      <c r="AL249" s="51"/>
      <c r="AM249" s="51"/>
      <c r="AN249" s="51"/>
      <c r="AO249" s="51"/>
      <c r="AP249" s="51"/>
      <c r="AQ249" s="51"/>
      <c r="AR249" s="51"/>
      <c r="AS249" s="51"/>
      <c r="AT249" s="51"/>
      <c r="AU249" s="51"/>
      <c r="AV249" s="51"/>
      <c r="AW249" s="51"/>
      <c r="AX249" s="51"/>
      <c r="AY249" s="51"/>
      <c r="AZ249" s="51"/>
    </row>
    <row r="250" spans="1:52" s="52" customFormat="1" ht="145.5" hidden="1" customHeight="1" x14ac:dyDescent="0.4">
      <c r="A250" s="70"/>
      <c r="B250" s="105"/>
      <c r="C250" s="69"/>
      <c r="D250" s="69"/>
      <c r="E250" s="69"/>
      <c r="F250" s="79" t="s">
        <v>34</v>
      </c>
      <c r="G250" s="29">
        <f>SUM(H250:N250)</f>
        <v>1489242.2</v>
      </c>
      <c r="H250" s="30">
        <f>H253+H256+H259+H262+H265</f>
        <v>40816.33</v>
      </c>
      <c r="I250" s="30">
        <f>I253+I256+I259+I262+I265</f>
        <v>306467.90000000002</v>
      </c>
      <c r="J250" s="30">
        <f t="shared" ref="J250:O251" si="83">J253+J256+J259+J262+J265+J268</f>
        <v>197777.28</v>
      </c>
      <c r="K250" s="30">
        <f t="shared" si="83"/>
        <v>653317.77</v>
      </c>
      <c r="L250" s="30">
        <f t="shared" si="83"/>
        <v>290862.92</v>
      </c>
      <c r="M250" s="30">
        <f t="shared" si="83"/>
        <v>0</v>
      </c>
      <c r="N250" s="30">
        <f t="shared" si="83"/>
        <v>0</v>
      </c>
      <c r="O250" s="30">
        <f t="shared" si="83"/>
        <v>0</v>
      </c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1"/>
      <c r="AB250" s="51"/>
      <c r="AC250" s="51"/>
      <c r="AD250" s="51"/>
      <c r="AE250" s="51"/>
      <c r="AF250" s="51"/>
      <c r="AG250" s="51"/>
      <c r="AH250" s="51"/>
      <c r="AI250" s="51"/>
      <c r="AJ250" s="51"/>
      <c r="AK250" s="51"/>
      <c r="AL250" s="51"/>
      <c r="AM250" s="51"/>
      <c r="AN250" s="51"/>
      <c r="AO250" s="51"/>
      <c r="AP250" s="51"/>
      <c r="AQ250" s="51"/>
      <c r="AR250" s="51"/>
      <c r="AS250" s="51"/>
      <c r="AT250" s="51"/>
      <c r="AU250" s="51"/>
      <c r="AV250" s="51"/>
      <c r="AW250" s="51"/>
      <c r="AX250" s="51"/>
      <c r="AY250" s="51"/>
      <c r="AZ250" s="51"/>
    </row>
    <row r="251" spans="1:52" s="52" customFormat="1" ht="145.5" hidden="1" customHeight="1" x14ac:dyDescent="0.4">
      <c r="A251" s="62"/>
      <c r="B251" s="106"/>
      <c r="C251" s="62"/>
      <c r="D251" s="62"/>
      <c r="E251" s="62"/>
      <c r="F251" s="79" t="s">
        <v>35</v>
      </c>
      <c r="G251" s="29">
        <f>SUM(H251:N251)</f>
        <v>72972867.5</v>
      </c>
      <c r="H251" s="55">
        <f>H254+H257+H260+H263+H266</f>
        <v>2000000</v>
      </c>
      <c r="I251" s="55">
        <f>I254+I257+I260+I263+I266</f>
        <v>15016927.049999999</v>
      </c>
      <c r="J251" s="55">
        <f t="shared" si="83"/>
        <v>9691086.6899999995</v>
      </c>
      <c r="K251" s="55">
        <f t="shared" si="83"/>
        <v>32012570.57</v>
      </c>
      <c r="L251" s="55">
        <f t="shared" si="83"/>
        <v>14252283.189999999</v>
      </c>
      <c r="M251" s="55">
        <f t="shared" si="83"/>
        <v>0</v>
      </c>
      <c r="N251" s="55">
        <f t="shared" si="83"/>
        <v>0</v>
      </c>
      <c r="O251" s="55">
        <f t="shared" si="83"/>
        <v>0</v>
      </c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1"/>
      <c r="AB251" s="51"/>
      <c r="AC251" s="51"/>
      <c r="AD251" s="51"/>
      <c r="AE251" s="51"/>
      <c r="AF251" s="51"/>
      <c r="AG251" s="51"/>
      <c r="AH251" s="51"/>
      <c r="AI251" s="51"/>
      <c r="AJ251" s="51"/>
      <c r="AK251" s="51"/>
      <c r="AL251" s="51"/>
      <c r="AM251" s="51"/>
      <c r="AN251" s="51"/>
      <c r="AO251" s="51"/>
      <c r="AP251" s="51"/>
      <c r="AQ251" s="51"/>
      <c r="AR251" s="51"/>
      <c r="AS251" s="51"/>
      <c r="AT251" s="51"/>
      <c r="AU251" s="51"/>
      <c r="AV251" s="51"/>
      <c r="AW251" s="51"/>
      <c r="AX251" s="51"/>
      <c r="AY251" s="51"/>
      <c r="AZ251" s="51"/>
    </row>
    <row r="252" spans="1:52" s="52" customFormat="1" ht="145.5" hidden="1" customHeight="1" x14ac:dyDescent="0.4">
      <c r="A252" s="70"/>
      <c r="B252" s="104" t="s">
        <v>91</v>
      </c>
      <c r="C252" s="69"/>
      <c r="D252" s="69"/>
      <c r="E252" s="69"/>
      <c r="F252" s="79" t="s">
        <v>33</v>
      </c>
      <c r="G252" s="81">
        <f t="shared" ref="G252:O252" si="84">G253+G254</f>
        <v>2040816.33</v>
      </c>
      <c r="H252" s="81">
        <f t="shared" si="84"/>
        <v>2040816.33</v>
      </c>
      <c r="I252" s="81">
        <f t="shared" si="84"/>
        <v>0</v>
      </c>
      <c r="J252" s="81">
        <f t="shared" si="84"/>
        <v>0</v>
      </c>
      <c r="K252" s="81">
        <f t="shared" si="84"/>
        <v>0</v>
      </c>
      <c r="L252" s="81">
        <f t="shared" si="84"/>
        <v>0</v>
      </c>
      <c r="M252" s="94">
        <f t="shared" si="84"/>
        <v>0</v>
      </c>
      <c r="N252" s="81">
        <f t="shared" si="84"/>
        <v>0</v>
      </c>
      <c r="O252" s="81">
        <f t="shared" si="84"/>
        <v>0</v>
      </c>
      <c r="P252" s="176" t="s">
        <v>119</v>
      </c>
      <c r="Q252" s="95" t="s">
        <v>24</v>
      </c>
      <c r="R252" s="180"/>
      <c r="S252" s="173">
        <v>1</v>
      </c>
      <c r="T252" s="173" t="s">
        <v>11</v>
      </c>
      <c r="U252" s="173" t="s">
        <v>11</v>
      </c>
      <c r="V252" s="173" t="s">
        <v>11</v>
      </c>
      <c r="W252" s="173" t="s">
        <v>11</v>
      </c>
      <c r="X252" s="173" t="s">
        <v>11</v>
      </c>
      <c r="Y252" s="173" t="s">
        <v>11</v>
      </c>
      <c r="Z252" s="173" t="s">
        <v>11</v>
      </c>
      <c r="AA252" s="51"/>
      <c r="AB252" s="51"/>
      <c r="AC252" s="51"/>
      <c r="AD252" s="51"/>
      <c r="AE252" s="51"/>
      <c r="AF252" s="51"/>
      <c r="AG252" s="51"/>
      <c r="AH252" s="51"/>
      <c r="AI252" s="51"/>
      <c r="AJ252" s="51"/>
      <c r="AK252" s="51"/>
      <c r="AL252" s="51"/>
      <c r="AM252" s="51"/>
      <c r="AN252" s="51"/>
      <c r="AO252" s="51"/>
      <c r="AP252" s="51"/>
      <c r="AQ252" s="51"/>
      <c r="AR252" s="51"/>
      <c r="AS252" s="51"/>
      <c r="AT252" s="51"/>
      <c r="AU252" s="51"/>
      <c r="AV252" s="51"/>
      <c r="AW252" s="51"/>
      <c r="AX252" s="51"/>
      <c r="AY252" s="51"/>
      <c r="AZ252" s="51"/>
    </row>
    <row r="253" spans="1:52" s="52" customFormat="1" ht="145.5" hidden="1" customHeight="1" x14ac:dyDescent="0.4">
      <c r="A253" s="70"/>
      <c r="B253" s="105"/>
      <c r="C253" s="69"/>
      <c r="D253" s="69"/>
      <c r="E253" s="69"/>
      <c r="F253" s="79" t="s">
        <v>34</v>
      </c>
      <c r="G253" s="29">
        <f>SUM(H253:N253)</f>
        <v>40816.33</v>
      </c>
      <c r="H253" s="30">
        <v>40816.33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177"/>
      <c r="Q253" s="96"/>
      <c r="R253" s="181"/>
      <c r="S253" s="174"/>
      <c r="T253" s="174"/>
      <c r="U253" s="174"/>
      <c r="V253" s="174"/>
      <c r="W253" s="174"/>
      <c r="X253" s="174"/>
      <c r="Y253" s="174"/>
      <c r="Z253" s="174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51"/>
      <c r="AN253" s="51"/>
      <c r="AO253" s="51"/>
      <c r="AP253" s="51"/>
      <c r="AQ253" s="51"/>
      <c r="AR253" s="51"/>
      <c r="AS253" s="51"/>
      <c r="AT253" s="51"/>
      <c r="AU253" s="51"/>
      <c r="AV253" s="51"/>
      <c r="AW253" s="51"/>
      <c r="AX253" s="51"/>
      <c r="AY253" s="51"/>
      <c r="AZ253" s="51"/>
    </row>
    <row r="254" spans="1:52" s="52" customFormat="1" ht="145.5" hidden="1" customHeight="1" x14ac:dyDescent="0.4">
      <c r="A254" s="70"/>
      <c r="B254" s="106"/>
      <c r="C254" s="69"/>
      <c r="D254" s="69"/>
      <c r="E254" s="69"/>
      <c r="F254" s="79" t="s">
        <v>35</v>
      </c>
      <c r="G254" s="29">
        <f>SUM(H254:N254)</f>
        <v>2000000</v>
      </c>
      <c r="H254" s="30">
        <v>2000000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178"/>
      <c r="Q254" s="179"/>
      <c r="R254" s="182"/>
      <c r="S254" s="175"/>
      <c r="T254" s="175"/>
      <c r="U254" s="175"/>
      <c r="V254" s="175"/>
      <c r="W254" s="175"/>
      <c r="X254" s="175"/>
      <c r="Y254" s="175"/>
      <c r="Z254" s="175"/>
      <c r="AA254" s="51"/>
      <c r="AB254" s="51"/>
      <c r="AC254" s="51"/>
      <c r="AD254" s="51"/>
      <c r="AE254" s="51"/>
      <c r="AF254" s="51"/>
      <c r="AG254" s="51"/>
      <c r="AH254" s="51"/>
      <c r="AI254" s="51"/>
      <c r="AJ254" s="51"/>
      <c r="AK254" s="51"/>
      <c r="AL254" s="51"/>
      <c r="AM254" s="51"/>
      <c r="AN254" s="51"/>
      <c r="AO254" s="51"/>
      <c r="AP254" s="51"/>
      <c r="AQ254" s="51"/>
      <c r="AR254" s="51"/>
      <c r="AS254" s="51"/>
      <c r="AT254" s="51"/>
      <c r="AU254" s="51"/>
      <c r="AV254" s="51"/>
      <c r="AW254" s="51"/>
      <c r="AX254" s="51"/>
      <c r="AY254" s="51"/>
      <c r="AZ254" s="51"/>
    </row>
    <row r="255" spans="1:52" s="52" customFormat="1" ht="145.5" hidden="1" customHeight="1" x14ac:dyDescent="0.4">
      <c r="A255" s="70"/>
      <c r="B255" s="104" t="s">
        <v>102</v>
      </c>
      <c r="C255" s="69"/>
      <c r="D255" s="69"/>
      <c r="E255" s="69"/>
      <c r="F255" s="79" t="s">
        <v>33</v>
      </c>
      <c r="G255" s="81">
        <f t="shared" ref="G255:O255" si="85">G256+G257</f>
        <v>15326622.15</v>
      </c>
      <c r="H255" s="81">
        <f t="shared" si="85"/>
        <v>0</v>
      </c>
      <c r="I255" s="81">
        <f t="shared" si="85"/>
        <v>7142857.1399999997</v>
      </c>
      <c r="J255" s="81">
        <f t="shared" si="85"/>
        <v>8183765.0099999998</v>
      </c>
      <c r="K255" s="81">
        <f t="shared" si="85"/>
        <v>0</v>
      </c>
      <c r="L255" s="81">
        <f t="shared" si="85"/>
        <v>0</v>
      </c>
      <c r="M255" s="94">
        <f t="shared" si="85"/>
        <v>0</v>
      </c>
      <c r="N255" s="81">
        <f t="shared" si="85"/>
        <v>0</v>
      </c>
      <c r="O255" s="81">
        <f t="shared" si="85"/>
        <v>0</v>
      </c>
      <c r="P255" s="176" t="s">
        <v>120</v>
      </c>
      <c r="Q255" s="95" t="s">
        <v>24</v>
      </c>
      <c r="R255" s="180"/>
      <c r="S255" s="173" t="s">
        <v>11</v>
      </c>
      <c r="T255" s="173" t="s">
        <v>11</v>
      </c>
      <c r="U255" s="173">
        <v>1</v>
      </c>
      <c r="V255" s="173" t="s">
        <v>11</v>
      </c>
      <c r="W255" s="173" t="s">
        <v>11</v>
      </c>
      <c r="X255" s="173" t="s">
        <v>11</v>
      </c>
      <c r="Y255" s="173" t="s">
        <v>11</v>
      </c>
      <c r="Z255" s="173" t="s">
        <v>11</v>
      </c>
      <c r="AA255" s="51"/>
      <c r="AB255" s="51"/>
      <c r="AC255" s="51"/>
      <c r="AD255" s="51"/>
      <c r="AE255" s="51"/>
      <c r="AF255" s="51"/>
      <c r="AG255" s="51"/>
      <c r="AH255" s="51"/>
      <c r="AI255" s="51"/>
      <c r="AJ255" s="51"/>
      <c r="AK255" s="51"/>
      <c r="AL255" s="51"/>
      <c r="AM255" s="51"/>
      <c r="AN255" s="51"/>
      <c r="AO255" s="51"/>
      <c r="AP255" s="51"/>
      <c r="AQ255" s="51"/>
      <c r="AR255" s="51"/>
      <c r="AS255" s="51"/>
      <c r="AT255" s="51"/>
      <c r="AU255" s="51"/>
      <c r="AV255" s="51"/>
      <c r="AW255" s="51"/>
      <c r="AX255" s="51"/>
      <c r="AY255" s="51"/>
      <c r="AZ255" s="51"/>
    </row>
    <row r="256" spans="1:52" s="52" customFormat="1" ht="145.5" hidden="1" customHeight="1" x14ac:dyDescent="0.4">
      <c r="A256" s="70"/>
      <c r="B256" s="105"/>
      <c r="C256" s="69"/>
      <c r="D256" s="69"/>
      <c r="E256" s="69"/>
      <c r="F256" s="79" t="s">
        <v>34</v>
      </c>
      <c r="G256" s="29">
        <f>SUM(H256:N256)</f>
        <v>306532.44</v>
      </c>
      <c r="H256" s="30">
        <v>0</v>
      </c>
      <c r="I256" s="29">
        <v>142857.14000000001</v>
      </c>
      <c r="J256" s="29">
        <v>163675.29999999999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177"/>
      <c r="Q256" s="96"/>
      <c r="R256" s="181"/>
      <c r="S256" s="174"/>
      <c r="T256" s="174"/>
      <c r="U256" s="174"/>
      <c r="V256" s="174"/>
      <c r="W256" s="174"/>
      <c r="X256" s="174"/>
      <c r="Y256" s="174"/>
      <c r="Z256" s="174"/>
      <c r="AA256" s="51"/>
      <c r="AB256" s="51"/>
      <c r="AC256" s="51"/>
      <c r="AD256" s="51"/>
      <c r="AE256" s="51"/>
      <c r="AF256" s="51"/>
      <c r="AG256" s="51"/>
      <c r="AH256" s="51"/>
      <c r="AI256" s="51"/>
      <c r="AJ256" s="51"/>
      <c r="AK256" s="51"/>
      <c r="AL256" s="51"/>
      <c r="AM256" s="51"/>
      <c r="AN256" s="51"/>
      <c r="AO256" s="51"/>
      <c r="AP256" s="51"/>
      <c r="AQ256" s="51"/>
      <c r="AR256" s="51"/>
      <c r="AS256" s="51"/>
      <c r="AT256" s="51"/>
      <c r="AU256" s="51"/>
      <c r="AV256" s="51"/>
      <c r="AW256" s="51"/>
      <c r="AX256" s="51"/>
      <c r="AY256" s="51"/>
      <c r="AZ256" s="51"/>
    </row>
    <row r="257" spans="1:52" s="52" customFormat="1" ht="145.5" hidden="1" customHeight="1" x14ac:dyDescent="0.4">
      <c r="A257" s="70"/>
      <c r="B257" s="183"/>
      <c r="C257" s="62"/>
      <c r="D257" s="62"/>
      <c r="E257" s="62"/>
      <c r="F257" s="79" t="s">
        <v>35</v>
      </c>
      <c r="G257" s="29">
        <f>SUM(H257:N257)</f>
        <v>15020089.710000001</v>
      </c>
      <c r="H257" s="30">
        <v>0</v>
      </c>
      <c r="I257" s="29">
        <v>7000000</v>
      </c>
      <c r="J257" s="29">
        <v>8020089.71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178"/>
      <c r="Q257" s="179"/>
      <c r="R257" s="182"/>
      <c r="S257" s="175"/>
      <c r="T257" s="175"/>
      <c r="U257" s="175"/>
      <c r="V257" s="175"/>
      <c r="W257" s="175"/>
      <c r="X257" s="175"/>
      <c r="Y257" s="175"/>
      <c r="Z257" s="175"/>
      <c r="AA257" s="51"/>
      <c r="AB257" s="51"/>
      <c r="AC257" s="51"/>
      <c r="AD257" s="51"/>
      <c r="AE257" s="51"/>
      <c r="AF257" s="51"/>
      <c r="AG257" s="51"/>
      <c r="AH257" s="51"/>
      <c r="AI257" s="51"/>
      <c r="AJ257" s="51"/>
      <c r="AK257" s="51"/>
      <c r="AL257" s="51"/>
      <c r="AM257" s="51"/>
      <c r="AN257" s="51"/>
      <c r="AO257" s="51"/>
      <c r="AP257" s="51"/>
      <c r="AQ257" s="51"/>
      <c r="AR257" s="51"/>
      <c r="AS257" s="51"/>
      <c r="AT257" s="51"/>
      <c r="AU257" s="51"/>
      <c r="AV257" s="51"/>
      <c r="AW257" s="51"/>
      <c r="AX257" s="51"/>
      <c r="AY257" s="51"/>
      <c r="AZ257" s="51"/>
    </row>
    <row r="258" spans="1:52" s="52" customFormat="1" ht="145.5" hidden="1" customHeight="1" x14ac:dyDescent="0.4">
      <c r="A258" s="70"/>
      <c r="B258" s="104" t="s">
        <v>98</v>
      </c>
      <c r="C258" s="69"/>
      <c r="D258" s="69"/>
      <c r="E258" s="69"/>
      <c r="F258" s="79" t="s">
        <v>33</v>
      </c>
      <c r="G258" s="29">
        <f t="shared" ref="G258:O258" si="86">G259+G260</f>
        <v>5056839.3499999996</v>
      </c>
      <c r="H258" s="29">
        <f t="shared" si="86"/>
        <v>0</v>
      </c>
      <c r="I258" s="29">
        <f t="shared" si="86"/>
        <v>5056839.3499999996</v>
      </c>
      <c r="J258" s="29">
        <f t="shared" si="86"/>
        <v>0</v>
      </c>
      <c r="K258" s="29">
        <f t="shared" si="86"/>
        <v>0</v>
      </c>
      <c r="L258" s="29">
        <f t="shared" si="86"/>
        <v>0</v>
      </c>
      <c r="M258" s="29">
        <f t="shared" si="86"/>
        <v>0</v>
      </c>
      <c r="N258" s="29">
        <f t="shared" si="86"/>
        <v>0</v>
      </c>
      <c r="O258" s="29">
        <f t="shared" si="86"/>
        <v>0</v>
      </c>
      <c r="P258" s="184" t="s">
        <v>114</v>
      </c>
      <c r="Q258" s="95" t="s">
        <v>24</v>
      </c>
      <c r="R258" s="180"/>
      <c r="S258" s="173" t="s">
        <v>11</v>
      </c>
      <c r="T258" s="173">
        <v>1</v>
      </c>
      <c r="U258" s="173" t="s">
        <v>11</v>
      </c>
      <c r="V258" s="173" t="s">
        <v>11</v>
      </c>
      <c r="W258" s="173" t="s">
        <v>11</v>
      </c>
      <c r="X258" s="173" t="s">
        <v>11</v>
      </c>
      <c r="Y258" s="173" t="s">
        <v>11</v>
      </c>
      <c r="Z258" s="173" t="s">
        <v>11</v>
      </c>
      <c r="AA258" s="51"/>
      <c r="AB258" s="51"/>
      <c r="AC258" s="51"/>
      <c r="AD258" s="51"/>
      <c r="AE258" s="51"/>
      <c r="AF258" s="51"/>
      <c r="AG258" s="51"/>
      <c r="AH258" s="51"/>
      <c r="AI258" s="51"/>
      <c r="AJ258" s="51"/>
      <c r="AK258" s="51"/>
      <c r="AL258" s="51"/>
      <c r="AM258" s="51"/>
      <c r="AN258" s="51"/>
      <c r="AO258" s="51"/>
      <c r="AP258" s="51"/>
      <c r="AQ258" s="51"/>
      <c r="AR258" s="51"/>
      <c r="AS258" s="51"/>
      <c r="AT258" s="51"/>
      <c r="AU258" s="51"/>
      <c r="AV258" s="51"/>
      <c r="AW258" s="51"/>
      <c r="AX258" s="51"/>
      <c r="AY258" s="51"/>
      <c r="AZ258" s="51"/>
    </row>
    <row r="259" spans="1:52" s="52" customFormat="1" ht="145.5" hidden="1" customHeight="1" x14ac:dyDescent="0.4">
      <c r="A259" s="70"/>
      <c r="B259" s="105"/>
      <c r="C259" s="69"/>
      <c r="D259" s="69"/>
      <c r="E259" s="69"/>
      <c r="F259" s="79" t="s">
        <v>34</v>
      </c>
      <c r="G259" s="29">
        <f>SUM(H259:N259)</f>
        <v>101136.79</v>
      </c>
      <c r="H259" s="30">
        <v>0</v>
      </c>
      <c r="I259" s="30">
        <v>101136.79</v>
      </c>
      <c r="J259" s="30"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185"/>
      <c r="Q259" s="96"/>
      <c r="R259" s="181"/>
      <c r="S259" s="174"/>
      <c r="T259" s="174"/>
      <c r="U259" s="174"/>
      <c r="V259" s="174"/>
      <c r="W259" s="174"/>
      <c r="X259" s="174"/>
      <c r="Y259" s="174"/>
      <c r="Z259" s="174"/>
      <c r="AA259" s="51"/>
      <c r="AB259" s="51"/>
      <c r="AC259" s="51"/>
      <c r="AD259" s="51"/>
      <c r="AE259" s="51"/>
      <c r="AF259" s="51"/>
      <c r="AG259" s="51"/>
      <c r="AH259" s="51"/>
      <c r="AI259" s="51"/>
      <c r="AJ259" s="51"/>
      <c r="AK259" s="51"/>
      <c r="AL259" s="51"/>
      <c r="AM259" s="51"/>
      <c r="AN259" s="51"/>
      <c r="AO259" s="51"/>
      <c r="AP259" s="51"/>
      <c r="AQ259" s="51"/>
      <c r="AR259" s="51"/>
      <c r="AS259" s="51"/>
      <c r="AT259" s="51"/>
      <c r="AU259" s="51"/>
      <c r="AV259" s="51"/>
      <c r="AW259" s="51"/>
      <c r="AX259" s="51"/>
      <c r="AY259" s="51"/>
      <c r="AZ259" s="51"/>
    </row>
    <row r="260" spans="1:52" s="52" customFormat="1" ht="145.5" hidden="1" customHeight="1" x14ac:dyDescent="0.4">
      <c r="A260" s="70"/>
      <c r="B260" s="183"/>
      <c r="C260" s="69"/>
      <c r="D260" s="69"/>
      <c r="E260" s="69"/>
      <c r="F260" s="79" t="s">
        <v>35</v>
      </c>
      <c r="G260" s="29">
        <f>SUM(H260:N260)</f>
        <v>4955702.5599999996</v>
      </c>
      <c r="H260" s="30">
        <v>0</v>
      </c>
      <c r="I260" s="30">
        <f>99114.05+4856588.51</f>
        <v>4955702.5599999996</v>
      </c>
      <c r="J260" s="30"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186"/>
      <c r="Q260" s="179"/>
      <c r="R260" s="182"/>
      <c r="S260" s="175"/>
      <c r="T260" s="175"/>
      <c r="U260" s="175"/>
      <c r="V260" s="175"/>
      <c r="W260" s="175"/>
      <c r="X260" s="175"/>
      <c r="Y260" s="175"/>
      <c r="Z260" s="175"/>
      <c r="AA260" s="51"/>
      <c r="AB260" s="51"/>
      <c r="AC260" s="51"/>
      <c r="AD260" s="51"/>
      <c r="AE260" s="51"/>
      <c r="AF260" s="51"/>
      <c r="AG260" s="51"/>
      <c r="AH260" s="51"/>
      <c r="AI260" s="51"/>
      <c r="AJ260" s="51"/>
      <c r="AK260" s="51"/>
      <c r="AL260" s="51"/>
      <c r="AM260" s="51"/>
      <c r="AN260" s="51"/>
      <c r="AO260" s="51"/>
      <c r="AP260" s="51"/>
      <c r="AQ260" s="51"/>
      <c r="AR260" s="51"/>
      <c r="AS260" s="51"/>
      <c r="AT260" s="51"/>
      <c r="AU260" s="51"/>
      <c r="AV260" s="51"/>
      <c r="AW260" s="51"/>
      <c r="AX260" s="51"/>
      <c r="AY260" s="51"/>
      <c r="AZ260" s="51"/>
    </row>
    <row r="261" spans="1:52" s="52" customFormat="1" ht="145.5" hidden="1" customHeight="1" x14ac:dyDescent="0.4">
      <c r="A261" s="70"/>
      <c r="B261" s="187" t="s">
        <v>99</v>
      </c>
      <c r="C261" s="69"/>
      <c r="D261" s="69"/>
      <c r="E261" s="69"/>
      <c r="F261" s="79" t="s">
        <v>33</v>
      </c>
      <c r="G261" s="29">
        <f t="shared" ref="G261:O261" si="87">G262+G263</f>
        <v>3123698.4600000004</v>
      </c>
      <c r="H261" s="29">
        <f t="shared" si="87"/>
        <v>0</v>
      </c>
      <c r="I261" s="29">
        <f t="shared" si="87"/>
        <v>3123698.4600000004</v>
      </c>
      <c r="J261" s="29">
        <f t="shared" si="87"/>
        <v>0</v>
      </c>
      <c r="K261" s="29">
        <f t="shared" si="87"/>
        <v>0</v>
      </c>
      <c r="L261" s="29">
        <f t="shared" si="87"/>
        <v>0</v>
      </c>
      <c r="M261" s="29">
        <f t="shared" si="87"/>
        <v>0</v>
      </c>
      <c r="N261" s="29">
        <f t="shared" si="87"/>
        <v>0</v>
      </c>
      <c r="O261" s="29">
        <f t="shared" si="87"/>
        <v>0</v>
      </c>
      <c r="P261" s="184" t="s">
        <v>113</v>
      </c>
      <c r="Q261" s="95" t="s">
        <v>24</v>
      </c>
      <c r="R261" s="188"/>
      <c r="S261" s="173" t="s">
        <v>11</v>
      </c>
      <c r="T261" s="173">
        <v>1</v>
      </c>
      <c r="U261" s="173" t="s">
        <v>11</v>
      </c>
      <c r="V261" s="173" t="s">
        <v>11</v>
      </c>
      <c r="W261" s="173" t="s">
        <v>11</v>
      </c>
      <c r="X261" s="173" t="s">
        <v>11</v>
      </c>
      <c r="Y261" s="173" t="s">
        <v>11</v>
      </c>
      <c r="Z261" s="173" t="s">
        <v>11</v>
      </c>
      <c r="AA261" s="51"/>
      <c r="AB261" s="51"/>
      <c r="AC261" s="51"/>
      <c r="AD261" s="51"/>
      <c r="AE261" s="51"/>
      <c r="AF261" s="51"/>
      <c r="AG261" s="51"/>
      <c r="AH261" s="51"/>
      <c r="AI261" s="51"/>
      <c r="AJ261" s="51"/>
      <c r="AK261" s="51"/>
      <c r="AL261" s="51"/>
      <c r="AM261" s="51"/>
      <c r="AN261" s="51"/>
      <c r="AO261" s="51"/>
      <c r="AP261" s="51"/>
      <c r="AQ261" s="51"/>
      <c r="AR261" s="51"/>
      <c r="AS261" s="51"/>
      <c r="AT261" s="51"/>
      <c r="AU261" s="51"/>
      <c r="AV261" s="51"/>
      <c r="AW261" s="51"/>
      <c r="AX261" s="51"/>
      <c r="AY261" s="51"/>
      <c r="AZ261" s="51"/>
    </row>
    <row r="262" spans="1:52" s="52" customFormat="1" ht="145.5" hidden="1" customHeight="1" x14ac:dyDescent="0.4">
      <c r="A262" s="70"/>
      <c r="B262" s="105"/>
      <c r="C262" s="69"/>
      <c r="D262" s="69"/>
      <c r="E262" s="69"/>
      <c r="F262" s="79" t="s">
        <v>34</v>
      </c>
      <c r="G262" s="29">
        <f>SUM(H262:N262)</f>
        <v>62473.97</v>
      </c>
      <c r="H262" s="30">
        <v>0</v>
      </c>
      <c r="I262" s="30">
        <v>62473.97</v>
      </c>
      <c r="J262" s="30"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185"/>
      <c r="Q262" s="96"/>
      <c r="R262" s="189"/>
      <c r="S262" s="174"/>
      <c r="T262" s="174"/>
      <c r="U262" s="174"/>
      <c r="V262" s="174"/>
      <c r="W262" s="174"/>
      <c r="X262" s="174"/>
      <c r="Y262" s="174"/>
      <c r="Z262" s="174"/>
      <c r="AA262" s="51"/>
      <c r="AB262" s="51"/>
      <c r="AC262" s="51"/>
      <c r="AD262" s="51"/>
      <c r="AE262" s="51"/>
      <c r="AF262" s="51"/>
      <c r="AG262" s="51"/>
      <c r="AH262" s="51"/>
      <c r="AI262" s="51"/>
      <c r="AJ262" s="51"/>
      <c r="AK262" s="51"/>
      <c r="AL262" s="51"/>
      <c r="AM262" s="51"/>
      <c r="AN262" s="51"/>
      <c r="AO262" s="51"/>
      <c r="AP262" s="51"/>
      <c r="AQ262" s="51"/>
      <c r="AR262" s="51"/>
      <c r="AS262" s="51"/>
      <c r="AT262" s="51"/>
      <c r="AU262" s="51"/>
      <c r="AV262" s="51"/>
      <c r="AW262" s="51"/>
      <c r="AX262" s="51"/>
      <c r="AY262" s="51"/>
      <c r="AZ262" s="51"/>
    </row>
    <row r="263" spans="1:52" s="52" customFormat="1" ht="145.5" hidden="1" customHeight="1" x14ac:dyDescent="0.4">
      <c r="A263" s="70"/>
      <c r="B263" s="106"/>
      <c r="C263" s="69"/>
      <c r="D263" s="69"/>
      <c r="E263" s="69"/>
      <c r="F263" s="79" t="s">
        <v>35</v>
      </c>
      <c r="G263" s="29">
        <f>SUM(H263:N263)</f>
        <v>3061224.49</v>
      </c>
      <c r="H263" s="30">
        <v>0</v>
      </c>
      <c r="I263" s="30">
        <v>3061224.49</v>
      </c>
      <c r="J263" s="30"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186"/>
      <c r="Q263" s="179"/>
      <c r="R263" s="190"/>
      <c r="S263" s="175"/>
      <c r="T263" s="175"/>
      <c r="U263" s="175"/>
      <c r="V263" s="175"/>
      <c r="W263" s="175"/>
      <c r="X263" s="175"/>
      <c r="Y263" s="175"/>
      <c r="Z263" s="175"/>
      <c r="AA263" s="51"/>
      <c r="AB263" s="51"/>
      <c r="AC263" s="51"/>
      <c r="AD263" s="51"/>
      <c r="AE263" s="51"/>
      <c r="AF263" s="51"/>
      <c r="AG263" s="51"/>
      <c r="AH263" s="51"/>
      <c r="AI263" s="51"/>
      <c r="AJ263" s="51"/>
      <c r="AK263" s="51"/>
      <c r="AL263" s="51"/>
      <c r="AM263" s="51"/>
      <c r="AN263" s="51"/>
      <c r="AO263" s="51"/>
      <c r="AP263" s="51"/>
      <c r="AQ263" s="51"/>
      <c r="AR263" s="51"/>
      <c r="AS263" s="51"/>
      <c r="AT263" s="51"/>
      <c r="AU263" s="51"/>
      <c r="AV263" s="51"/>
      <c r="AW263" s="51"/>
      <c r="AX263" s="51"/>
      <c r="AY263" s="51"/>
      <c r="AZ263" s="51"/>
    </row>
    <row r="264" spans="1:52" s="52" customFormat="1" ht="145.5" hidden="1" customHeight="1" x14ac:dyDescent="0.4">
      <c r="A264" s="70"/>
      <c r="B264" s="104" t="s">
        <v>101</v>
      </c>
      <c r="C264" s="69"/>
      <c r="D264" s="69"/>
      <c r="E264" s="69"/>
      <c r="F264" s="79" t="s">
        <v>33</v>
      </c>
      <c r="G264" s="29">
        <f t="shared" ref="G264:O264" si="88">G265+G266</f>
        <v>1705098.96</v>
      </c>
      <c r="H264" s="29">
        <f t="shared" si="88"/>
        <v>0</v>
      </c>
      <c r="I264" s="29">
        <f t="shared" si="88"/>
        <v>0</v>
      </c>
      <c r="J264" s="29">
        <f t="shared" si="88"/>
        <v>1705098.96</v>
      </c>
      <c r="K264" s="29">
        <f t="shared" si="88"/>
        <v>0</v>
      </c>
      <c r="L264" s="29">
        <f t="shared" si="88"/>
        <v>0</v>
      </c>
      <c r="M264" s="29">
        <f t="shared" si="88"/>
        <v>0</v>
      </c>
      <c r="N264" s="29">
        <f t="shared" si="88"/>
        <v>0</v>
      </c>
      <c r="O264" s="29">
        <f t="shared" si="88"/>
        <v>0</v>
      </c>
      <c r="P264" s="176" t="s">
        <v>112</v>
      </c>
      <c r="Q264" s="95" t="s">
        <v>24</v>
      </c>
      <c r="R264" s="180"/>
      <c r="S264" s="173" t="s">
        <v>11</v>
      </c>
      <c r="T264" s="173" t="s">
        <v>11</v>
      </c>
      <c r="U264" s="173">
        <v>1</v>
      </c>
      <c r="V264" s="173" t="s">
        <v>11</v>
      </c>
      <c r="W264" s="173" t="s">
        <v>11</v>
      </c>
      <c r="X264" s="173" t="s">
        <v>11</v>
      </c>
      <c r="Y264" s="173" t="s">
        <v>11</v>
      </c>
      <c r="Z264" s="173" t="s">
        <v>11</v>
      </c>
      <c r="AA264" s="51"/>
      <c r="AB264" s="51"/>
      <c r="AC264" s="51"/>
      <c r="AD264" s="51"/>
      <c r="AE264" s="51"/>
      <c r="AF264" s="51"/>
      <c r="AG264" s="51"/>
      <c r="AH264" s="51"/>
      <c r="AI264" s="51"/>
      <c r="AJ264" s="51"/>
      <c r="AK264" s="51"/>
      <c r="AL264" s="51"/>
      <c r="AM264" s="51"/>
      <c r="AN264" s="51"/>
      <c r="AO264" s="51"/>
      <c r="AP264" s="51"/>
      <c r="AQ264" s="51"/>
      <c r="AR264" s="51"/>
      <c r="AS264" s="51"/>
      <c r="AT264" s="51"/>
      <c r="AU264" s="51"/>
      <c r="AV264" s="51"/>
      <c r="AW264" s="51"/>
      <c r="AX264" s="51"/>
      <c r="AY264" s="51"/>
      <c r="AZ264" s="51"/>
    </row>
    <row r="265" spans="1:52" s="52" customFormat="1" ht="145.5" hidden="1" customHeight="1" x14ac:dyDescent="0.4">
      <c r="A265" s="70"/>
      <c r="B265" s="105"/>
      <c r="C265" s="69"/>
      <c r="D265" s="69"/>
      <c r="E265" s="69"/>
      <c r="F265" s="79" t="s">
        <v>34</v>
      </c>
      <c r="G265" s="29">
        <f>SUM(H265:N265)</f>
        <v>34101.980000000003</v>
      </c>
      <c r="H265" s="30">
        <v>0</v>
      </c>
      <c r="I265" s="30">
        <v>0</v>
      </c>
      <c r="J265" s="30">
        <v>34101.980000000003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177"/>
      <c r="Q265" s="96"/>
      <c r="R265" s="181"/>
      <c r="S265" s="174"/>
      <c r="T265" s="174"/>
      <c r="U265" s="174"/>
      <c r="V265" s="174"/>
      <c r="W265" s="174"/>
      <c r="X265" s="174"/>
      <c r="Y265" s="174"/>
      <c r="Z265" s="174"/>
      <c r="AA265" s="51"/>
      <c r="AB265" s="51"/>
      <c r="AC265" s="51"/>
      <c r="AD265" s="51"/>
      <c r="AE265" s="51"/>
      <c r="AF265" s="51"/>
      <c r="AG265" s="51"/>
      <c r="AH265" s="51"/>
      <c r="AI265" s="51"/>
      <c r="AJ265" s="51"/>
      <c r="AK265" s="51"/>
      <c r="AL265" s="51"/>
      <c r="AM265" s="51"/>
      <c r="AN265" s="51"/>
      <c r="AO265" s="51"/>
      <c r="AP265" s="51"/>
      <c r="AQ265" s="51"/>
      <c r="AR265" s="51"/>
      <c r="AS265" s="51"/>
      <c r="AT265" s="51"/>
      <c r="AU265" s="51"/>
      <c r="AV265" s="51"/>
      <c r="AW265" s="51"/>
      <c r="AX265" s="51"/>
      <c r="AY265" s="51"/>
      <c r="AZ265" s="51"/>
    </row>
    <row r="266" spans="1:52" s="52" customFormat="1" ht="145.5" hidden="1" customHeight="1" x14ac:dyDescent="0.4">
      <c r="A266" s="70"/>
      <c r="B266" s="183"/>
      <c r="C266" s="69"/>
      <c r="D266" s="69"/>
      <c r="E266" s="69"/>
      <c r="F266" s="79" t="s">
        <v>35</v>
      </c>
      <c r="G266" s="29">
        <f>SUM(H266:N266)</f>
        <v>1670996.98</v>
      </c>
      <c r="H266" s="30">
        <v>0</v>
      </c>
      <c r="I266" s="30">
        <v>0</v>
      </c>
      <c r="J266" s="30">
        <v>1670996.98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178"/>
      <c r="Q266" s="179"/>
      <c r="R266" s="182"/>
      <c r="S266" s="175"/>
      <c r="T266" s="175"/>
      <c r="U266" s="175"/>
      <c r="V266" s="175"/>
      <c r="W266" s="175"/>
      <c r="X266" s="175"/>
      <c r="Y266" s="175"/>
      <c r="Z266" s="175"/>
      <c r="AA266" s="51"/>
      <c r="AB266" s="51"/>
      <c r="AC266" s="51"/>
      <c r="AD266" s="51"/>
      <c r="AE266" s="51"/>
      <c r="AF266" s="51"/>
      <c r="AG266" s="51"/>
      <c r="AH266" s="51"/>
      <c r="AI266" s="51"/>
      <c r="AJ266" s="51"/>
      <c r="AK266" s="51"/>
      <c r="AL266" s="51"/>
      <c r="AM266" s="51"/>
      <c r="AN266" s="51"/>
      <c r="AO266" s="51"/>
      <c r="AP266" s="51"/>
      <c r="AQ266" s="51"/>
      <c r="AR266" s="51"/>
      <c r="AS266" s="51"/>
      <c r="AT266" s="51"/>
      <c r="AU266" s="51"/>
      <c r="AV266" s="51"/>
      <c r="AW266" s="51"/>
      <c r="AX266" s="51"/>
      <c r="AY266" s="51"/>
      <c r="AZ266" s="51"/>
    </row>
    <row r="267" spans="1:52" s="52" customFormat="1" ht="145.5" hidden="1" customHeight="1" x14ac:dyDescent="0.4">
      <c r="A267" s="70"/>
      <c r="B267" s="104" t="s">
        <v>126</v>
      </c>
      <c r="C267" s="69"/>
      <c r="D267" s="69"/>
      <c r="E267" s="69"/>
      <c r="F267" s="79" t="s">
        <v>33</v>
      </c>
      <c r="G267" s="29">
        <f t="shared" ref="G267:O267" si="89">G268+G269</f>
        <v>47209034.449999996</v>
      </c>
      <c r="H267" s="29">
        <f t="shared" si="89"/>
        <v>0</v>
      </c>
      <c r="I267" s="29">
        <f t="shared" si="89"/>
        <v>0</v>
      </c>
      <c r="J267" s="29">
        <f t="shared" si="89"/>
        <v>0</v>
      </c>
      <c r="K267" s="29">
        <f t="shared" si="89"/>
        <v>32665888.34</v>
      </c>
      <c r="L267" s="29">
        <f t="shared" si="89"/>
        <v>14543146.109999999</v>
      </c>
      <c r="M267" s="29">
        <f t="shared" si="89"/>
        <v>0</v>
      </c>
      <c r="N267" s="29">
        <f t="shared" si="89"/>
        <v>0</v>
      </c>
      <c r="O267" s="29">
        <f t="shared" si="89"/>
        <v>0</v>
      </c>
      <c r="P267" s="176" t="s">
        <v>120</v>
      </c>
      <c r="Q267" s="95" t="s">
        <v>24</v>
      </c>
      <c r="R267" s="180"/>
      <c r="S267" s="173" t="s">
        <v>11</v>
      </c>
      <c r="T267" s="173" t="s">
        <v>11</v>
      </c>
      <c r="U267" s="173" t="s">
        <v>11</v>
      </c>
      <c r="V267" s="173">
        <v>1</v>
      </c>
      <c r="W267" s="173">
        <v>1</v>
      </c>
      <c r="X267" s="173" t="s">
        <v>11</v>
      </c>
      <c r="Y267" s="173" t="s">
        <v>11</v>
      </c>
      <c r="Z267" s="173" t="s">
        <v>11</v>
      </c>
      <c r="AA267" s="51"/>
      <c r="AB267" s="51"/>
      <c r="AC267" s="51"/>
      <c r="AD267" s="51"/>
      <c r="AE267" s="51"/>
      <c r="AF267" s="51"/>
      <c r="AG267" s="51"/>
      <c r="AH267" s="51"/>
      <c r="AI267" s="51"/>
      <c r="AJ267" s="51"/>
      <c r="AK267" s="51"/>
      <c r="AL267" s="51"/>
      <c r="AM267" s="51"/>
      <c r="AN267" s="51"/>
      <c r="AO267" s="51"/>
      <c r="AP267" s="51"/>
      <c r="AQ267" s="51"/>
      <c r="AR267" s="51"/>
      <c r="AS267" s="51"/>
      <c r="AT267" s="51"/>
      <c r="AU267" s="51"/>
      <c r="AV267" s="51"/>
      <c r="AW267" s="51"/>
      <c r="AX267" s="51"/>
      <c r="AY267" s="51"/>
      <c r="AZ267" s="51"/>
    </row>
    <row r="268" spans="1:52" s="52" customFormat="1" ht="145.5" hidden="1" customHeight="1" x14ac:dyDescent="0.4">
      <c r="A268" s="70"/>
      <c r="B268" s="105"/>
      <c r="C268" s="69"/>
      <c r="D268" s="69"/>
      <c r="E268" s="69"/>
      <c r="F268" s="79" t="s">
        <v>34</v>
      </c>
      <c r="G268" s="29">
        <f>SUM(H268:N268)</f>
        <v>944180.69</v>
      </c>
      <c r="H268" s="30">
        <v>0</v>
      </c>
      <c r="I268" s="30">
        <v>0</v>
      </c>
      <c r="J268" s="30">
        <v>0</v>
      </c>
      <c r="K268" s="30">
        <v>653317.77</v>
      </c>
      <c r="L268" s="30">
        <v>290862.92</v>
      </c>
      <c r="M268" s="30">
        <v>0</v>
      </c>
      <c r="N268" s="30">
        <v>0</v>
      </c>
      <c r="O268" s="30">
        <v>0</v>
      </c>
      <c r="P268" s="177"/>
      <c r="Q268" s="96"/>
      <c r="R268" s="181"/>
      <c r="S268" s="174"/>
      <c r="T268" s="174"/>
      <c r="U268" s="174"/>
      <c r="V268" s="174"/>
      <c r="W268" s="174"/>
      <c r="X268" s="174"/>
      <c r="Y268" s="174"/>
      <c r="Z268" s="174"/>
      <c r="AA268" s="51"/>
      <c r="AB268" s="51"/>
      <c r="AC268" s="51"/>
      <c r="AD268" s="51"/>
      <c r="AE268" s="51"/>
      <c r="AF268" s="51"/>
      <c r="AG268" s="51"/>
      <c r="AH268" s="51"/>
      <c r="AI268" s="51"/>
      <c r="AJ268" s="51"/>
      <c r="AK268" s="51"/>
      <c r="AL268" s="51"/>
      <c r="AM268" s="51"/>
      <c r="AN268" s="51"/>
      <c r="AO268" s="51"/>
      <c r="AP268" s="51"/>
      <c r="AQ268" s="51"/>
      <c r="AR268" s="51"/>
      <c r="AS268" s="51"/>
      <c r="AT268" s="51"/>
      <c r="AU268" s="51"/>
      <c r="AV268" s="51"/>
      <c r="AW268" s="51"/>
      <c r="AX268" s="51"/>
      <c r="AY268" s="51"/>
      <c r="AZ268" s="51"/>
    </row>
    <row r="269" spans="1:52" s="52" customFormat="1" ht="145.5" hidden="1" customHeight="1" x14ac:dyDescent="0.4">
      <c r="A269" s="70"/>
      <c r="B269" s="183"/>
      <c r="C269" s="69"/>
      <c r="D269" s="69"/>
      <c r="E269" s="69"/>
      <c r="F269" s="79" t="s">
        <v>35</v>
      </c>
      <c r="G269" s="29">
        <f>SUM(H269:N269)</f>
        <v>46264853.759999998</v>
      </c>
      <c r="H269" s="30">
        <v>0</v>
      </c>
      <c r="I269" s="30">
        <v>0</v>
      </c>
      <c r="J269" s="30">
        <v>0</v>
      </c>
      <c r="K269" s="30">
        <f>3521382.76+28491187.81</f>
        <v>32012570.57</v>
      </c>
      <c r="L269" s="30">
        <v>14252283.189999999</v>
      </c>
      <c r="M269" s="30">
        <v>0</v>
      </c>
      <c r="N269" s="30">
        <v>0</v>
      </c>
      <c r="O269" s="30">
        <v>0</v>
      </c>
      <c r="P269" s="178"/>
      <c r="Q269" s="179"/>
      <c r="R269" s="182"/>
      <c r="S269" s="175"/>
      <c r="T269" s="175"/>
      <c r="U269" s="175"/>
      <c r="V269" s="175"/>
      <c r="W269" s="175"/>
      <c r="X269" s="175"/>
      <c r="Y269" s="175"/>
      <c r="Z269" s="175"/>
      <c r="AA269" s="51"/>
      <c r="AB269" s="51"/>
      <c r="AC269" s="51"/>
      <c r="AD269" s="51"/>
      <c r="AE269" s="51"/>
      <c r="AF269" s="51"/>
      <c r="AG269" s="51"/>
      <c r="AH269" s="51"/>
      <c r="AI269" s="51"/>
      <c r="AJ269" s="51"/>
      <c r="AK269" s="51"/>
      <c r="AL269" s="51"/>
      <c r="AM269" s="51"/>
      <c r="AN269" s="51"/>
      <c r="AO269" s="51"/>
      <c r="AP269" s="51"/>
      <c r="AQ269" s="51"/>
      <c r="AR269" s="51"/>
      <c r="AS269" s="51"/>
      <c r="AT269" s="51"/>
      <c r="AU269" s="51"/>
      <c r="AV269" s="51"/>
      <c r="AW269" s="51"/>
      <c r="AX269" s="51"/>
      <c r="AY269" s="51"/>
      <c r="AZ269" s="51"/>
    </row>
    <row r="270" spans="1:52" s="52" customFormat="1" ht="145.5" hidden="1" customHeight="1" x14ac:dyDescent="0.4">
      <c r="A270" s="70"/>
      <c r="B270" s="104" t="s">
        <v>122</v>
      </c>
      <c r="C270" s="69"/>
      <c r="D270" s="69"/>
      <c r="E270" s="69"/>
      <c r="F270" s="79" t="s">
        <v>33</v>
      </c>
      <c r="G270" s="29">
        <f t="shared" ref="G270:O270" si="90">G271+G272</f>
        <v>260307.49000000002</v>
      </c>
      <c r="H270" s="29">
        <f t="shared" si="90"/>
        <v>0</v>
      </c>
      <c r="I270" s="29">
        <f t="shared" si="90"/>
        <v>0</v>
      </c>
      <c r="J270" s="29">
        <f t="shared" si="90"/>
        <v>0</v>
      </c>
      <c r="K270" s="29">
        <f t="shared" si="90"/>
        <v>156183.67000000001</v>
      </c>
      <c r="L270" s="29">
        <f t="shared" si="90"/>
        <v>104123.82</v>
      </c>
      <c r="M270" s="29">
        <f t="shared" si="90"/>
        <v>0</v>
      </c>
      <c r="N270" s="53">
        <f t="shared" si="90"/>
        <v>0</v>
      </c>
      <c r="O270" s="53">
        <f t="shared" si="90"/>
        <v>0</v>
      </c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1"/>
      <c r="AB270" s="51"/>
      <c r="AC270" s="51"/>
      <c r="AD270" s="51"/>
      <c r="AE270" s="51"/>
      <c r="AF270" s="51"/>
      <c r="AG270" s="51"/>
      <c r="AH270" s="51"/>
      <c r="AI270" s="51"/>
      <c r="AJ270" s="51"/>
      <c r="AK270" s="51"/>
      <c r="AL270" s="51"/>
      <c r="AM270" s="51"/>
      <c r="AN270" s="51"/>
      <c r="AO270" s="51"/>
      <c r="AP270" s="51"/>
      <c r="AQ270" s="51"/>
      <c r="AR270" s="51"/>
      <c r="AS270" s="51"/>
      <c r="AT270" s="51"/>
      <c r="AU270" s="51"/>
      <c r="AV270" s="51"/>
      <c r="AW270" s="51"/>
      <c r="AX270" s="51"/>
      <c r="AY270" s="51"/>
      <c r="AZ270" s="51"/>
    </row>
    <row r="271" spans="1:52" s="52" customFormat="1" ht="145.5" hidden="1" customHeight="1" x14ac:dyDescent="0.4">
      <c r="A271" s="70"/>
      <c r="B271" s="105"/>
      <c r="C271" s="69"/>
      <c r="D271" s="69"/>
      <c r="E271" s="69"/>
      <c r="F271" s="79" t="s">
        <v>34</v>
      </c>
      <c r="G271" s="29">
        <f>SUM(H271:N271)</f>
        <v>5206.67</v>
      </c>
      <c r="H271" s="30">
        <f t="shared" ref="H271:O272" si="91">H274</f>
        <v>0</v>
      </c>
      <c r="I271" s="30">
        <f t="shared" si="91"/>
        <v>0</v>
      </c>
      <c r="J271" s="30">
        <f t="shared" si="91"/>
        <v>0</v>
      </c>
      <c r="K271" s="30">
        <f t="shared" si="91"/>
        <v>3123.67</v>
      </c>
      <c r="L271" s="30">
        <f t="shared" si="91"/>
        <v>2083</v>
      </c>
      <c r="M271" s="30">
        <f t="shared" si="91"/>
        <v>0</v>
      </c>
      <c r="N271" s="30">
        <f t="shared" si="91"/>
        <v>0</v>
      </c>
      <c r="O271" s="30">
        <f t="shared" si="91"/>
        <v>0</v>
      </c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/>
      <c r="AQ271" s="51"/>
      <c r="AR271" s="51"/>
      <c r="AS271" s="51"/>
      <c r="AT271" s="51"/>
      <c r="AU271" s="51"/>
      <c r="AV271" s="51"/>
      <c r="AW271" s="51"/>
      <c r="AX271" s="51"/>
      <c r="AY271" s="51"/>
      <c r="AZ271" s="51"/>
    </row>
    <row r="272" spans="1:52" s="52" customFormat="1" ht="145.5" hidden="1" customHeight="1" x14ac:dyDescent="0.4">
      <c r="A272" s="62"/>
      <c r="B272" s="106"/>
      <c r="C272" s="62"/>
      <c r="D272" s="62"/>
      <c r="E272" s="62"/>
      <c r="F272" s="79" t="s">
        <v>35</v>
      </c>
      <c r="G272" s="29">
        <f>SUM(H272:N272)</f>
        <v>255100.82</v>
      </c>
      <c r="H272" s="30">
        <f t="shared" si="91"/>
        <v>0</v>
      </c>
      <c r="I272" s="30">
        <f t="shared" si="91"/>
        <v>0</v>
      </c>
      <c r="J272" s="30">
        <f t="shared" si="91"/>
        <v>0</v>
      </c>
      <c r="K272" s="30">
        <f t="shared" si="91"/>
        <v>153060</v>
      </c>
      <c r="L272" s="30">
        <f t="shared" si="91"/>
        <v>102040.82</v>
      </c>
      <c r="M272" s="30">
        <f t="shared" si="91"/>
        <v>0</v>
      </c>
      <c r="N272" s="30">
        <f t="shared" si="91"/>
        <v>0</v>
      </c>
      <c r="O272" s="30">
        <f t="shared" si="91"/>
        <v>0</v>
      </c>
      <c r="P272" s="59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51"/>
      <c r="AQ272" s="51"/>
      <c r="AR272" s="51"/>
      <c r="AS272" s="51"/>
      <c r="AT272" s="51"/>
      <c r="AU272" s="51"/>
      <c r="AV272" s="51"/>
      <c r="AW272" s="51"/>
      <c r="AX272" s="51"/>
      <c r="AY272" s="51"/>
      <c r="AZ272" s="51"/>
    </row>
    <row r="273" spans="1:52" s="52" customFormat="1" ht="145.5" hidden="1" customHeight="1" x14ac:dyDescent="0.4">
      <c r="A273" s="70"/>
      <c r="B273" s="104" t="s">
        <v>123</v>
      </c>
      <c r="C273" s="69"/>
      <c r="D273" s="69"/>
      <c r="E273" s="69"/>
      <c r="F273" s="79" t="s">
        <v>33</v>
      </c>
      <c r="G273" s="81">
        <f t="shared" ref="G273:O273" si="92">G274+G275</f>
        <v>260307.49000000002</v>
      </c>
      <c r="H273" s="81">
        <f t="shared" si="92"/>
        <v>0</v>
      </c>
      <c r="I273" s="81">
        <f t="shared" si="92"/>
        <v>0</v>
      </c>
      <c r="J273" s="81">
        <f t="shared" si="92"/>
        <v>0</v>
      </c>
      <c r="K273" s="81">
        <f t="shared" si="92"/>
        <v>156183.67000000001</v>
      </c>
      <c r="L273" s="81">
        <f t="shared" si="92"/>
        <v>104123.82</v>
      </c>
      <c r="M273" s="94">
        <f t="shared" si="92"/>
        <v>0</v>
      </c>
      <c r="N273" s="57">
        <f t="shared" si="92"/>
        <v>0</v>
      </c>
      <c r="O273" s="57">
        <f t="shared" si="92"/>
        <v>0</v>
      </c>
      <c r="P273" s="95" t="s">
        <v>127</v>
      </c>
      <c r="Q273" s="95" t="s">
        <v>124</v>
      </c>
      <c r="R273" s="192"/>
      <c r="S273" s="173" t="s">
        <v>11</v>
      </c>
      <c r="T273" s="173" t="s">
        <v>11</v>
      </c>
      <c r="U273" s="173" t="s">
        <v>11</v>
      </c>
      <c r="V273" s="173">
        <v>1</v>
      </c>
      <c r="W273" s="173">
        <v>1</v>
      </c>
      <c r="X273" s="173">
        <v>1</v>
      </c>
      <c r="Y273" s="173">
        <v>1</v>
      </c>
      <c r="Z273" s="173">
        <v>1</v>
      </c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  <c r="AN273" s="51"/>
      <c r="AO273" s="51"/>
      <c r="AP273" s="51"/>
      <c r="AQ273" s="51"/>
      <c r="AR273" s="51"/>
      <c r="AS273" s="51"/>
      <c r="AT273" s="51"/>
      <c r="AU273" s="51"/>
      <c r="AV273" s="51"/>
      <c r="AW273" s="51"/>
      <c r="AX273" s="51"/>
      <c r="AY273" s="51"/>
      <c r="AZ273" s="51"/>
    </row>
    <row r="274" spans="1:52" s="52" customFormat="1" ht="145.5" hidden="1" customHeight="1" x14ac:dyDescent="0.4">
      <c r="A274" s="70"/>
      <c r="B274" s="105"/>
      <c r="C274" s="69"/>
      <c r="D274" s="69"/>
      <c r="E274" s="69"/>
      <c r="F274" s="79" t="s">
        <v>34</v>
      </c>
      <c r="G274" s="29">
        <f>SUM(H274:N274)</f>
        <v>5206.67</v>
      </c>
      <c r="H274" s="30">
        <v>0</v>
      </c>
      <c r="I274" s="29">
        <v>0</v>
      </c>
      <c r="J274" s="29">
        <v>0</v>
      </c>
      <c r="K274" s="29">
        <f>2082.45+1041.22</f>
        <v>3123.67</v>
      </c>
      <c r="L274" s="29">
        <v>2083</v>
      </c>
      <c r="M274" s="29">
        <v>0</v>
      </c>
      <c r="N274" s="53">
        <v>0</v>
      </c>
      <c r="O274" s="53">
        <v>0</v>
      </c>
      <c r="P274" s="96"/>
      <c r="Q274" s="194"/>
      <c r="R274" s="195"/>
      <c r="S274" s="194"/>
      <c r="T274" s="194"/>
      <c r="U274" s="194"/>
      <c r="V274" s="194"/>
      <c r="W274" s="194"/>
      <c r="X274" s="194"/>
      <c r="Y274" s="194"/>
      <c r="Z274" s="194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  <c r="AM274" s="51"/>
      <c r="AN274" s="51"/>
      <c r="AO274" s="51"/>
      <c r="AP274" s="51"/>
      <c r="AQ274" s="51"/>
      <c r="AR274" s="51"/>
      <c r="AS274" s="51"/>
      <c r="AT274" s="51"/>
      <c r="AU274" s="51"/>
      <c r="AV274" s="51"/>
      <c r="AW274" s="51"/>
      <c r="AX274" s="51"/>
      <c r="AY274" s="51"/>
      <c r="AZ274" s="51"/>
    </row>
    <row r="275" spans="1:52" s="52" customFormat="1" ht="145.5" hidden="1" customHeight="1" x14ac:dyDescent="0.4">
      <c r="A275" s="70"/>
      <c r="B275" s="106"/>
      <c r="C275" s="69"/>
      <c r="D275" s="69"/>
      <c r="E275" s="69"/>
      <c r="F275" s="79" t="s">
        <v>35</v>
      </c>
      <c r="G275" s="29">
        <f>SUM(H275:N275)</f>
        <v>255100.82</v>
      </c>
      <c r="H275" s="30">
        <v>0</v>
      </c>
      <c r="I275" s="29">
        <v>0</v>
      </c>
      <c r="J275" s="29">
        <v>0</v>
      </c>
      <c r="K275" s="29">
        <f>102040+51020</f>
        <v>153060</v>
      </c>
      <c r="L275" s="29">
        <v>102040.82</v>
      </c>
      <c r="M275" s="29">
        <v>0</v>
      </c>
      <c r="N275" s="53">
        <v>0</v>
      </c>
      <c r="O275" s="53">
        <v>0</v>
      </c>
      <c r="P275" s="179"/>
      <c r="Q275" s="60" t="s">
        <v>125</v>
      </c>
      <c r="R275" s="61"/>
      <c r="S275" s="74" t="s">
        <v>11</v>
      </c>
      <c r="T275" s="74" t="s">
        <v>11</v>
      </c>
      <c r="U275" s="74" t="s">
        <v>11</v>
      </c>
      <c r="V275" s="74">
        <v>1</v>
      </c>
      <c r="W275" s="74">
        <v>1</v>
      </c>
      <c r="X275" s="74">
        <v>1</v>
      </c>
      <c r="Y275" s="74">
        <v>1</v>
      </c>
      <c r="Z275" s="74">
        <v>1</v>
      </c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  <c r="AM275" s="51"/>
      <c r="AN275" s="51"/>
      <c r="AO275" s="51"/>
      <c r="AP275" s="51"/>
      <c r="AQ275" s="51"/>
      <c r="AR275" s="51"/>
      <c r="AS275" s="51"/>
      <c r="AT275" s="51"/>
      <c r="AU275" s="51"/>
      <c r="AV275" s="51"/>
      <c r="AW275" s="51"/>
      <c r="AX275" s="51"/>
      <c r="AY275" s="51"/>
      <c r="AZ275" s="51"/>
    </row>
    <row r="276" spans="1:52" s="52" customFormat="1" ht="142.5" customHeight="1" x14ac:dyDescent="0.4">
      <c r="A276" s="197"/>
      <c r="B276" s="198" t="s">
        <v>132</v>
      </c>
      <c r="C276" s="199"/>
      <c r="D276" s="199"/>
      <c r="E276" s="199"/>
      <c r="F276" s="32" t="s">
        <v>33</v>
      </c>
      <c r="G276" s="200">
        <f t="shared" ref="G276:O276" si="93">G277+G278</f>
        <v>1653671.28</v>
      </c>
      <c r="H276" s="200">
        <f t="shared" si="93"/>
        <v>0</v>
      </c>
      <c r="I276" s="200">
        <f t="shared" si="93"/>
        <v>0</v>
      </c>
      <c r="J276" s="200">
        <f t="shared" si="93"/>
        <v>0</v>
      </c>
      <c r="K276" s="200">
        <f t="shared" si="93"/>
        <v>0</v>
      </c>
      <c r="L276" s="200">
        <f t="shared" si="93"/>
        <v>1653671.28</v>
      </c>
      <c r="M276" s="200">
        <f t="shared" si="93"/>
        <v>0</v>
      </c>
      <c r="N276" s="200">
        <f t="shared" si="93"/>
        <v>0</v>
      </c>
      <c r="O276" s="200">
        <f t="shared" si="93"/>
        <v>0</v>
      </c>
      <c r="P276" s="201"/>
      <c r="Q276" s="201"/>
      <c r="R276" s="201"/>
      <c r="S276" s="201"/>
      <c r="T276" s="201"/>
      <c r="U276" s="201"/>
      <c r="V276" s="201"/>
      <c r="W276" s="201"/>
      <c r="X276" s="201"/>
      <c r="Y276" s="201"/>
      <c r="Z276" s="201"/>
      <c r="AA276" s="202"/>
      <c r="AB276" s="202"/>
      <c r="AC276" s="202"/>
      <c r="AD276" s="202"/>
      <c r="AE276" s="202"/>
      <c r="AF276" s="202"/>
      <c r="AG276" s="202"/>
      <c r="AH276" s="202"/>
      <c r="AI276" s="202"/>
      <c r="AJ276" s="51"/>
      <c r="AK276" s="51"/>
      <c r="AL276" s="51"/>
      <c r="AM276" s="51"/>
      <c r="AN276" s="51"/>
      <c r="AO276" s="51"/>
      <c r="AP276" s="51"/>
      <c r="AQ276" s="51"/>
      <c r="AR276" s="51"/>
      <c r="AS276" s="51"/>
      <c r="AT276" s="51"/>
      <c r="AU276" s="51"/>
      <c r="AV276" s="51"/>
      <c r="AW276" s="51"/>
      <c r="AX276" s="51"/>
      <c r="AY276" s="51"/>
      <c r="AZ276" s="51"/>
    </row>
    <row r="277" spans="1:52" s="52" customFormat="1" ht="252.75" customHeight="1" x14ac:dyDescent="0.4">
      <c r="A277" s="197"/>
      <c r="B277" s="203"/>
      <c r="C277" s="199"/>
      <c r="D277" s="199"/>
      <c r="E277" s="199"/>
      <c r="F277" s="32" t="s">
        <v>34</v>
      </c>
      <c r="G277" s="200">
        <f>SUM(H277:N277)</f>
        <v>601000</v>
      </c>
      <c r="H277" s="200">
        <f t="shared" ref="H277:K278" si="94">H280</f>
        <v>0</v>
      </c>
      <c r="I277" s="200">
        <f t="shared" si="94"/>
        <v>0</v>
      </c>
      <c r="J277" s="200">
        <f t="shared" si="94"/>
        <v>0</v>
      </c>
      <c r="K277" s="200">
        <f t="shared" si="94"/>
        <v>0</v>
      </c>
      <c r="L277" s="200">
        <f>L280</f>
        <v>601000</v>
      </c>
      <c r="M277" s="200">
        <f t="shared" ref="M277:O278" si="95">M280</f>
        <v>0</v>
      </c>
      <c r="N277" s="200">
        <f t="shared" si="95"/>
        <v>0</v>
      </c>
      <c r="O277" s="200">
        <f t="shared" si="95"/>
        <v>0</v>
      </c>
      <c r="P277" s="201"/>
      <c r="Q277" s="201"/>
      <c r="R277" s="201"/>
      <c r="S277" s="201"/>
      <c r="T277" s="201"/>
      <c r="U277" s="201"/>
      <c r="V277" s="201"/>
      <c r="W277" s="201"/>
      <c r="X277" s="201"/>
      <c r="Y277" s="201"/>
      <c r="Z277" s="201"/>
      <c r="AA277" s="202"/>
      <c r="AB277" s="202"/>
      <c r="AC277" s="202"/>
      <c r="AD277" s="202"/>
      <c r="AE277" s="202"/>
      <c r="AF277" s="202"/>
      <c r="AG277" s="202"/>
      <c r="AH277" s="202"/>
      <c r="AI277" s="202"/>
      <c r="AJ277" s="51"/>
      <c r="AK277" s="51"/>
      <c r="AL277" s="51"/>
      <c r="AM277" s="51"/>
      <c r="AN277" s="51"/>
      <c r="AO277" s="51"/>
      <c r="AP277" s="51"/>
      <c r="AQ277" s="51"/>
      <c r="AR277" s="51"/>
      <c r="AS277" s="51"/>
      <c r="AT277" s="51"/>
      <c r="AU277" s="51"/>
      <c r="AV277" s="51"/>
      <c r="AW277" s="51"/>
      <c r="AX277" s="51"/>
      <c r="AY277" s="51"/>
      <c r="AZ277" s="51"/>
    </row>
    <row r="278" spans="1:52" s="52" customFormat="1" ht="180.75" customHeight="1" x14ac:dyDescent="0.4">
      <c r="A278" s="204"/>
      <c r="B278" s="205"/>
      <c r="C278" s="204"/>
      <c r="D278" s="204"/>
      <c r="E278" s="204"/>
      <c r="F278" s="32" t="s">
        <v>35</v>
      </c>
      <c r="G278" s="200">
        <f>SUM(H278:N278)</f>
        <v>1052671.28</v>
      </c>
      <c r="H278" s="206">
        <f t="shared" si="94"/>
        <v>0</v>
      </c>
      <c r="I278" s="206">
        <f t="shared" si="94"/>
        <v>0</v>
      </c>
      <c r="J278" s="206">
        <f t="shared" si="94"/>
        <v>0</v>
      </c>
      <c r="K278" s="206">
        <f t="shared" si="94"/>
        <v>0</v>
      </c>
      <c r="L278" s="206">
        <f>L281</f>
        <v>1052671.28</v>
      </c>
      <c r="M278" s="206">
        <f t="shared" si="95"/>
        <v>0</v>
      </c>
      <c r="N278" s="206">
        <f t="shared" si="95"/>
        <v>0</v>
      </c>
      <c r="O278" s="206">
        <f t="shared" si="95"/>
        <v>0</v>
      </c>
      <c r="P278" s="201"/>
      <c r="Q278" s="201"/>
      <c r="R278" s="201"/>
      <c r="S278" s="201"/>
      <c r="T278" s="201"/>
      <c r="U278" s="201"/>
      <c r="V278" s="201"/>
      <c r="W278" s="201"/>
      <c r="X278" s="201"/>
      <c r="Y278" s="201"/>
      <c r="Z278" s="201"/>
      <c r="AA278" s="202"/>
      <c r="AB278" s="202"/>
      <c r="AC278" s="202"/>
      <c r="AD278" s="202"/>
      <c r="AE278" s="202"/>
      <c r="AF278" s="202"/>
      <c r="AG278" s="202"/>
      <c r="AH278" s="202"/>
      <c r="AI278" s="202"/>
      <c r="AJ278" s="51"/>
      <c r="AK278" s="51"/>
      <c r="AL278" s="51"/>
      <c r="AM278" s="51"/>
      <c r="AN278" s="51"/>
      <c r="AO278" s="51"/>
      <c r="AP278" s="51"/>
      <c r="AQ278" s="51"/>
      <c r="AR278" s="51"/>
      <c r="AS278" s="51"/>
      <c r="AT278" s="51"/>
      <c r="AU278" s="51"/>
      <c r="AV278" s="51"/>
      <c r="AW278" s="51"/>
      <c r="AX278" s="51"/>
      <c r="AY278" s="51"/>
      <c r="AZ278" s="51"/>
    </row>
    <row r="279" spans="1:52" s="52" customFormat="1" ht="76.5" customHeight="1" x14ac:dyDescent="0.4">
      <c r="A279" s="197"/>
      <c r="B279" s="207" t="s">
        <v>137</v>
      </c>
      <c r="C279" s="199"/>
      <c r="D279" s="199"/>
      <c r="E279" s="199"/>
      <c r="F279" s="32" t="s">
        <v>33</v>
      </c>
      <c r="G279" s="208">
        <f t="shared" ref="G279:O279" si="96">G280+G281</f>
        <v>1653671.28</v>
      </c>
      <c r="H279" s="208">
        <f t="shared" si="96"/>
        <v>0</v>
      </c>
      <c r="I279" s="208">
        <f t="shared" si="96"/>
        <v>0</v>
      </c>
      <c r="J279" s="208">
        <f t="shared" si="96"/>
        <v>0</v>
      </c>
      <c r="K279" s="208">
        <f t="shared" si="96"/>
        <v>0</v>
      </c>
      <c r="L279" s="208">
        <f t="shared" si="96"/>
        <v>1653671.28</v>
      </c>
      <c r="M279" s="208">
        <f t="shared" si="96"/>
        <v>0</v>
      </c>
      <c r="N279" s="208">
        <f t="shared" si="96"/>
        <v>0</v>
      </c>
      <c r="O279" s="208">
        <f t="shared" si="96"/>
        <v>0</v>
      </c>
      <c r="P279" s="209" t="s">
        <v>133</v>
      </c>
      <c r="Q279" s="210" t="s">
        <v>134</v>
      </c>
      <c r="R279" s="211">
        <v>1</v>
      </c>
      <c r="S279" s="212" t="s">
        <v>11</v>
      </c>
      <c r="T279" s="212" t="s">
        <v>11</v>
      </c>
      <c r="U279" s="212" t="s">
        <v>11</v>
      </c>
      <c r="V279" s="212" t="s">
        <v>11</v>
      </c>
      <c r="W279" s="212">
        <v>1</v>
      </c>
      <c r="X279" s="212" t="s">
        <v>11</v>
      </c>
      <c r="Y279" s="212" t="s">
        <v>11</v>
      </c>
      <c r="Z279" s="212" t="s">
        <v>11</v>
      </c>
      <c r="AA279" s="202"/>
      <c r="AB279" s="202"/>
      <c r="AC279" s="202"/>
      <c r="AD279" s="202"/>
      <c r="AE279" s="202"/>
      <c r="AF279" s="202"/>
      <c r="AG279" s="202"/>
      <c r="AH279" s="202"/>
      <c r="AI279" s="202"/>
      <c r="AJ279" s="51"/>
      <c r="AK279" s="51"/>
      <c r="AL279" s="51"/>
      <c r="AM279" s="51"/>
      <c r="AN279" s="51"/>
      <c r="AO279" s="51"/>
      <c r="AP279" s="51"/>
      <c r="AQ279" s="51"/>
      <c r="AR279" s="51"/>
      <c r="AS279" s="51"/>
      <c r="AT279" s="51"/>
      <c r="AU279" s="51"/>
      <c r="AV279" s="51"/>
      <c r="AW279" s="51"/>
      <c r="AX279" s="51"/>
      <c r="AY279" s="51"/>
      <c r="AZ279" s="51"/>
    </row>
    <row r="280" spans="1:52" s="52" customFormat="1" ht="218.25" customHeight="1" x14ac:dyDescent="0.4">
      <c r="A280" s="197"/>
      <c r="B280" s="213"/>
      <c r="C280" s="199"/>
      <c r="D280" s="199"/>
      <c r="E280" s="199"/>
      <c r="F280" s="32" t="s">
        <v>34</v>
      </c>
      <c r="G280" s="200">
        <f>SUM(H280:N280)</f>
        <v>601000</v>
      </c>
      <c r="H280" s="200">
        <v>0</v>
      </c>
      <c r="I280" s="200">
        <v>0</v>
      </c>
      <c r="J280" s="200">
        <v>0</v>
      </c>
      <c r="K280" s="200">
        <v>0</v>
      </c>
      <c r="L280" s="200">
        <v>601000</v>
      </c>
      <c r="M280" s="200">
        <v>0</v>
      </c>
      <c r="N280" s="200">
        <v>0</v>
      </c>
      <c r="O280" s="200">
        <v>0</v>
      </c>
      <c r="P280" s="214"/>
      <c r="Q280" s="215"/>
      <c r="R280" s="216"/>
      <c r="S280" s="217"/>
      <c r="T280" s="217"/>
      <c r="U280" s="217"/>
      <c r="V280" s="217"/>
      <c r="W280" s="217"/>
      <c r="X280" s="217"/>
      <c r="Y280" s="217"/>
      <c r="Z280" s="217"/>
      <c r="AA280" s="202"/>
      <c r="AB280" s="202"/>
      <c r="AC280" s="202"/>
      <c r="AD280" s="202"/>
      <c r="AE280" s="202"/>
      <c r="AF280" s="202"/>
      <c r="AG280" s="202"/>
      <c r="AH280" s="202"/>
      <c r="AI280" s="202"/>
      <c r="AJ280" s="51"/>
      <c r="AK280" s="51"/>
      <c r="AL280" s="51"/>
      <c r="AM280" s="51"/>
      <c r="AN280" s="51"/>
      <c r="AO280" s="51"/>
      <c r="AP280" s="51"/>
      <c r="AQ280" s="51"/>
      <c r="AR280" s="51"/>
      <c r="AS280" s="51"/>
      <c r="AT280" s="51"/>
      <c r="AU280" s="51"/>
      <c r="AV280" s="51"/>
      <c r="AW280" s="51"/>
      <c r="AX280" s="51"/>
      <c r="AY280" s="51"/>
      <c r="AZ280" s="51"/>
    </row>
    <row r="281" spans="1:52" s="52" customFormat="1" ht="178.5" customHeight="1" x14ac:dyDescent="0.4">
      <c r="A281" s="197"/>
      <c r="B281" s="218"/>
      <c r="C281" s="204"/>
      <c r="D281" s="204"/>
      <c r="E281" s="204"/>
      <c r="F281" s="32" t="s">
        <v>35</v>
      </c>
      <c r="G281" s="200">
        <f>SUM(H281:N281)</f>
        <v>1052671.28</v>
      </c>
      <c r="H281" s="200">
        <v>0</v>
      </c>
      <c r="I281" s="200">
        <v>0</v>
      </c>
      <c r="J281" s="200">
        <v>0</v>
      </c>
      <c r="K281" s="200">
        <v>0</v>
      </c>
      <c r="L281" s="200">
        <v>1052671.28</v>
      </c>
      <c r="M281" s="200">
        <v>0</v>
      </c>
      <c r="N281" s="200">
        <v>0</v>
      </c>
      <c r="O281" s="200">
        <v>0</v>
      </c>
      <c r="P281" s="219"/>
      <c r="Q281" s="220"/>
      <c r="R281" s="221"/>
      <c r="S281" s="222"/>
      <c r="T281" s="222"/>
      <c r="U281" s="222"/>
      <c r="V281" s="222"/>
      <c r="W281" s="222"/>
      <c r="X281" s="222"/>
      <c r="Y281" s="222"/>
      <c r="Z281" s="222"/>
      <c r="AA281" s="202"/>
      <c r="AB281" s="202"/>
      <c r="AC281" s="202"/>
      <c r="AD281" s="202"/>
      <c r="AE281" s="202"/>
      <c r="AF281" s="202"/>
      <c r="AG281" s="202"/>
      <c r="AH281" s="202"/>
      <c r="AI281" s="202"/>
      <c r="AJ281" s="51"/>
      <c r="AK281" s="51"/>
      <c r="AL281" s="51"/>
      <c r="AM281" s="51"/>
      <c r="AN281" s="51"/>
      <c r="AO281" s="51"/>
      <c r="AP281" s="51"/>
      <c r="AQ281" s="51"/>
      <c r="AR281" s="51"/>
      <c r="AS281" s="51"/>
      <c r="AT281" s="51"/>
      <c r="AU281" s="51"/>
      <c r="AV281" s="51"/>
      <c r="AW281" s="51"/>
      <c r="AX281" s="51"/>
      <c r="AY281" s="51"/>
      <c r="AZ281" s="51"/>
    </row>
    <row r="282" spans="1:52" s="52" customFormat="1" ht="174" customHeight="1" x14ac:dyDescent="0.4">
      <c r="A282" s="223"/>
      <c r="B282" s="198" t="s">
        <v>13</v>
      </c>
      <c r="C282" s="223"/>
      <c r="D282" s="223"/>
      <c r="E282" s="223"/>
      <c r="F282" s="224" t="s">
        <v>33</v>
      </c>
      <c r="G282" s="225">
        <f t="shared" ref="G282:O282" si="97">G283+G284</f>
        <v>1002226006.72</v>
      </c>
      <c r="H282" s="225">
        <f t="shared" si="97"/>
        <v>101242310.34999999</v>
      </c>
      <c r="I282" s="225">
        <f t="shared" si="97"/>
        <v>118394534.73999999</v>
      </c>
      <c r="J282" s="225">
        <f t="shared" si="97"/>
        <v>120333076.19</v>
      </c>
      <c r="K282" s="225">
        <f t="shared" si="97"/>
        <v>162977321.88</v>
      </c>
      <c r="L282" s="225">
        <f t="shared" si="97"/>
        <v>152682408.81</v>
      </c>
      <c r="M282" s="225">
        <f t="shared" si="97"/>
        <v>151499138.06</v>
      </c>
      <c r="N282" s="225">
        <f t="shared" si="97"/>
        <v>96617164.739999995</v>
      </c>
      <c r="O282" s="225">
        <f t="shared" si="97"/>
        <v>98480051.950000003</v>
      </c>
      <c r="P282" s="226"/>
      <c r="Q282" s="226"/>
      <c r="R282" s="226"/>
      <c r="S282" s="226"/>
      <c r="T282" s="226"/>
      <c r="U282" s="226"/>
      <c r="V282" s="226"/>
      <c r="W282" s="226"/>
      <c r="X282" s="226"/>
      <c r="Y282" s="226"/>
      <c r="Z282" s="226"/>
      <c r="AA282" s="202"/>
      <c r="AB282" s="202"/>
      <c r="AC282" s="202"/>
      <c r="AD282" s="202"/>
      <c r="AE282" s="202"/>
      <c r="AF282" s="202"/>
      <c r="AG282" s="202"/>
      <c r="AH282" s="202"/>
      <c r="AI282" s="202"/>
      <c r="AJ282" s="51"/>
      <c r="AK282" s="51"/>
      <c r="AL282" s="51"/>
      <c r="AM282" s="51"/>
      <c r="AN282" s="51"/>
      <c r="AO282" s="51"/>
      <c r="AP282" s="51"/>
      <c r="AQ282" s="51"/>
      <c r="AR282" s="51"/>
      <c r="AS282" s="51"/>
      <c r="AT282" s="51"/>
      <c r="AU282" s="51"/>
      <c r="AV282" s="51"/>
      <c r="AW282" s="51"/>
      <c r="AX282" s="51"/>
      <c r="AY282" s="51"/>
      <c r="AZ282" s="51"/>
    </row>
    <row r="283" spans="1:52" s="52" customFormat="1" ht="244.5" customHeight="1" x14ac:dyDescent="0.4">
      <c r="A283" s="227"/>
      <c r="B283" s="203"/>
      <c r="C283" s="227"/>
      <c r="D283" s="227"/>
      <c r="E283" s="227"/>
      <c r="F283" s="224" t="s">
        <v>34</v>
      </c>
      <c r="G283" s="200">
        <f>SUM(H283:O283)</f>
        <v>634804120.82000005</v>
      </c>
      <c r="H283" s="200">
        <f t="shared" ref="H283:J284" si="98">H20+H31+H72+H123+H169+H200+H222</f>
        <v>69428014.159999996</v>
      </c>
      <c r="I283" s="200">
        <f t="shared" si="98"/>
        <v>64373685.359999999</v>
      </c>
      <c r="J283" s="200">
        <f t="shared" si="98"/>
        <v>62569261.519999996</v>
      </c>
      <c r="K283" s="200">
        <f>K20+K31+K72+K123+K169+K200+K222+K243</f>
        <v>75442523.680000007</v>
      </c>
      <c r="L283" s="200">
        <f>L20+L31+L72+L123+L169+L200+L222+L243+L277</f>
        <v>71131733.739999995</v>
      </c>
      <c r="M283" s="200">
        <f t="shared" ref="M283:O284" si="99">M20+M31+M72+M123+M169+M200+M222</f>
        <v>96761685.670000002</v>
      </c>
      <c r="N283" s="200">
        <f t="shared" si="99"/>
        <v>96617164.739999995</v>
      </c>
      <c r="O283" s="200">
        <f t="shared" si="99"/>
        <v>98480051.950000003</v>
      </c>
      <c r="P283" s="226"/>
      <c r="Q283" s="226"/>
      <c r="R283" s="226"/>
      <c r="S283" s="226"/>
      <c r="T283" s="226"/>
      <c r="U283" s="226"/>
      <c r="V283" s="226"/>
      <c r="W283" s="226"/>
      <c r="X283" s="226"/>
      <c r="Y283" s="226"/>
      <c r="Z283" s="226"/>
      <c r="AA283" s="202"/>
      <c r="AB283" s="202"/>
      <c r="AC283" s="202"/>
      <c r="AD283" s="202"/>
      <c r="AE283" s="202"/>
      <c r="AF283" s="202"/>
      <c r="AG283" s="202"/>
      <c r="AH283" s="202"/>
      <c r="AI283" s="202"/>
      <c r="AJ283" s="51"/>
      <c r="AK283" s="51"/>
      <c r="AL283" s="51"/>
      <c r="AM283" s="51"/>
      <c r="AN283" s="51"/>
      <c r="AO283" s="51"/>
      <c r="AP283" s="51"/>
      <c r="AQ283" s="51"/>
      <c r="AR283" s="51"/>
      <c r="AS283" s="51"/>
      <c r="AT283" s="51"/>
      <c r="AU283" s="51"/>
      <c r="AV283" s="51"/>
      <c r="AW283" s="51"/>
      <c r="AX283" s="51"/>
      <c r="AY283" s="51"/>
      <c r="AZ283" s="51"/>
    </row>
    <row r="284" spans="1:52" s="52" customFormat="1" ht="174" customHeight="1" x14ac:dyDescent="0.4">
      <c r="A284" s="227"/>
      <c r="B284" s="203"/>
      <c r="C284" s="227"/>
      <c r="D284" s="227"/>
      <c r="E284" s="227"/>
      <c r="F284" s="228" t="s">
        <v>35</v>
      </c>
      <c r="G284" s="229">
        <f>SUM(H284:O284)</f>
        <v>367421885.89999998</v>
      </c>
      <c r="H284" s="229">
        <f t="shared" si="98"/>
        <v>31814296.189999998</v>
      </c>
      <c r="I284" s="229">
        <f t="shared" si="98"/>
        <v>54020849.379999995</v>
      </c>
      <c r="J284" s="229">
        <f t="shared" si="98"/>
        <v>57763814.669999994</v>
      </c>
      <c r="K284" s="229">
        <f>K21+K32+K73+K124+K170+K201+K223+K244</f>
        <v>87534798.200000003</v>
      </c>
      <c r="L284" s="229">
        <f>L21+L32+L73+L124+L170+L201+L223+L244+L278</f>
        <v>81550675.070000008</v>
      </c>
      <c r="M284" s="229">
        <f t="shared" si="99"/>
        <v>54737452.390000001</v>
      </c>
      <c r="N284" s="229">
        <f t="shared" si="99"/>
        <v>0</v>
      </c>
      <c r="O284" s="229">
        <f t="shared" si="99"/>
        <v>0</v>
      </c>
      <c r="P284" s="226"/>
      <c r="Q284" s="226"/>
      <c r="R284" s="226"/>
      <c r="S284" s="226"/>
      <c r="T284" s="226"/>
      <c r="U284" s="226"/>
      <c r="V284" s="226"/>
      <c r="W284" s="226"/>
      <c r="X284" s="226"/>
      <c r="Y284" s="226"/>
      <c r="Z284" s="226"/>
      <c r="AA284" s="202"/>
      <c r="AB284" s="202"/>
      <c r="AC284" s="202"/>
      <c r="AD284" s="202"/>
      <c r="AE284" s="202"/>
      <c r="AF284" s="202"/>
      <c r="AG284" s="202"/>
      <c r="AH284" s="202"/>
      <c r="AI284" s="202"/>
      <c r="AJ284" s="51"/>
      <c r="AK284" s="51"/>
      <c r="AL284" s="51"/>
      <c r="AM284" s="51"/>
      <c r="AN284" s="51"/>
      <c r="AO284" s="51"/>
      <c r="AP284" s="51"/>
      <c r="AQ284" s="51"/>
      <c r="AR284" s="51"/>
      <c r="AS284" s="51"/>
      <c r="AT284" s="51"/>
      <c r="AU284" s="51"/>
      <c r="AV284" s="51"/>
      <c r="AW284" s="51"/>
      <c r="AX284" s="51"/>
      <c r="AY284" s="51"/>
      <c r="AZ284" s="51"/>
    </row>
    <row r="285" spans="1:52" s="52" customFormat="1" ht="96" customHeight="1" x14ac:dyDescent="0.4">
      <c r="A285" s="230"/>
      <c r="B285" s="233" t="s">
        <v>145</v>
      </c>
      <c r="C285" s="231">
        <v>2019</v>
      </c>
      <c r="D285" s="231">
        <v>2026</v>
      </c>
      <c r="E285" s="231" t="s">
        <v>146</v>
      </c>
      <c r="F285" s="232" t="s">
        <v>33</v>
      </c>
      <c r="G285" s="196">
        <v>7042522475.2799997</v>
      </c>
      <c r="H285" s="196">
        <v>751729656.40999997</v>
      </c>
      <c r="I285" s="196">
        <v>816034604.89999998</v>
      </c>
      <c r="J285" s="196">
        <v>870840161.73000002</v>
      </c>
      <c r="K285" s="196">
        <v>1021608807.09</v>
      </c>
      <c r="L285" s="196">
        <v>1089923997.54</v>
      </c>
      <c r="M285" s="196">
        <v>900277804.35000002</v>
      </c>
      <c r="N285" s="196" t="s">
        <v>147</v>
      </c>
      <c r="O285" s="196" t="s">
        <v>148</v>
      </c>
      <c r="P285" s="226"/>
      <c r="Q285" s="226"/>
      <c r="R285" s="226"/>
      <c r="S285" s="226"/>
      <c r="T285" s="226"/>
      <c r="U285" s="226"/>
      <c r="V285" s="226"/>
      <c r="W285" s="226"/>
      <c r="X285" s="226"/>
      <c r="Y285" s="226"/>
      <c r="Z285" s="226"/>
      <c r="AA285" s="202"/>
      <c r="AB285" s="202"/>
      <c r="AC285" s="202"/>
      <c r="AD285" s="202"/>
      <c r="AE285" s="202"/>
      <c r="AF285" s="202"/>
      <c r="AG285" s="202"/>
      <c r="AH285" s="202"/>
      <c r="AI285" s="202"/>
      <c r="AJ285" s="51"/>
      <c r="AK285" s="51"/>
      <c r="AL285" s="51"/>
      <c r="AM285" s="51"/>
      <c r="AN285" s="51"/>
      <c r="AO285" s="51"/>
      <c r="AP285" s="51"/>
      <c r="AQ285" s="51"/>
      <c r="AR285" s="51"/>
      <c r="AS285" s="51"/>
      <c r="AT285" s="51"/>
      <c r="AU285" s="51"/>
      <c r="AV285" s="51"/>
      <c r="AW285" s="51"/>
      <c r="AX285" s="51"/>
      <c r="AY285" s="51"/>
      <c r="AZ285" s="51"/>
    </row>
    <row r="286" spans="1:52" s="52" customFormat="1" ht="105" customHeight="1" x14ac:dyDescent="0.4">
      <c r="A286" s="230"/>
      <c r="B286" s="233"/>
      <c r="C286" s="231"/>
      <c r="D286" s="231"/>
      <c r="E286" s="231"/>
      <c r="F286" s="232" t="s">
        <v>34</v>
      </c>
      <c r="G286" s="196">
        <v>2481882107.8400002</v>
      </c>
      <c r="H286" s="196">
        <v>263985716.33000001</v>
      </c>
      <c r="I286" s="196">
        <v>257216917.41</v>
      </c>
      <c r="J286" s="196">
        <v>272089386.63</v>
      </c>
      <c r="K286" s="196">
        <v>299547639.45999998</v>
      </c>
      <c r="L286" s="196">
        <v>334470211.74000001</v>
      </c>
      <c r="M286" s="196">
        <v>403271822.00999999</v>
      </c>
      <c r="N286" s="196">
        <v>316792914.25999999</v>
      </c>
      <c r="O286" s="196">
        <v>334492530</v>
      </c>
      <c r="P286" s="226"/>
      <c r="Q286" s="226"/>
      <c r="R286" s="226"/>
      <c r="S286" s="226"/>
      <c r="T286" s="226"/>
      <c r="U286" s="226"/>
      <c r="V286" s="226"/>
      <c r="W286" s="226"/>
      <c r="X286" s="226"/>
      <c r="Y286" s="226"/>
      <c r="Z286" s="226"/>
      <c r="AA286" s="202"/>
      <c r="AB286" s="202"/>
      <c r="AC286" s="202"/>
      <c r="AD286" s="202"/>
      <c r="AE286" s="202"/>
      <c r="AF286" s="202"/>
      <c r="AG286" s="202"/>
      <c r="AH286" s="202"/>
      <c r="AI286" s="202"/>
      <c r="AJ286" s="51"/>
      <c r="AK286" s="51"/>
      <c r="AL286" s="51"/>
      <c r="AM286" s="51"/>
      <c r="AN286" s="51"/>
      <c r="AO286" s="51"/>
      <c r="AP286" s="51"/>
      <c r="AQ286" s="51"/>
      <c r="AR286" s="51"/>
      <c r="AS286" s="51"/>
      <c r="AT286" s="51"/>
      <c r="AU286" s="51"/>
      <c r="AV286" s="51"/>
      <c r="AW286" s="51"/>
      <c r="AX286" s="51"/>
      <c r="AY286" s="51"/>
      <c r="AZ286" s="51"/>
    </row>
    <row r="287" spans="1:52" s="52" customFormat="1" ht="141" customHeight="1" x14ac:dyDescent="0.4">
      <c r="A287" s="230"/>
      <c r="B287" s="233"/>
      <c r="C287" s="231"/>
      <c r="D287" s="231"/>
      <c r="E287" s="231"/>
      <c r="F287" s="232" t="s">
        <v>35</v>
      </c>
      <c r="G287" s="196">
        <v>4560640367.4399996</v>
      </c>
      <c r="H287" s="196">
        <v>487743940.07999998</v>
      </c>
      <c r="I287" s="196">
        <v>558817687.49000001</v>
      </c>
      <c r="J287" s="196">
        <v>598750775.10000002</v>
      </c>
      <c r="K287" s="196">
        <v>722047167.63</v>
      </c>
      <c r="L287" s="196">
        <v>755453785.79999995</v>
      </c>
      <c r="M287" s="196">
        <v>497005982.33999997</v>
      </c>
      <c r="N287" s="196" t="s">
        <v>149</v>
      </c>
      <c r="O287" s="196" t="s">
        <v>150</v>
      </c>
      <c r="P287" s="226"/>
      <c r="Q287" s="226"/>
      <c r="R287" s="226"/>
      <c r="S287" s="226"/>
      <c r="T287" s="226"/>
      <c r="U287" s="226"/>
      <c r="V287" s="226"/>
      <c r="W287" s="226"/>
      <c r="X287" s="226"/>
      <c r="Y287" s="226"/>
      <c r="Z287" s="226"/>
      <c r="AA287" s="202"/>
      <c r="AB287" s="202"/>
      <c r="AC287" s="202"/>
      <c r="AD287" s="202"/>
      <c r="AE287" s="202"/>
      <c r="AF287" s="202"/>
      <c r="AG287" s="202"/>
      <c r="AH287" s="202"/>
      <c r="AI287" s="202"/>
      <c r="AJ287" s="51"/>
      <c r="AK287" s="51"/>
      <c r="AL287" s="51"/>
      <c r="AM287" s="51"/>
      <c r="AN287" s="51"/>
      <c r="AO287" s="51"/>
      <c r="AP287" s="51"/>
      <c r="AQ287" s="51"/>
      <c r="AR287" s="51"/>
      <c r="AS287" s="51"/>
      <c r="AT287" s="51"/>
      <c r="AU287" s="51"/>
      <c r="AV287" s="51"/>
      <c r="AW287" s="51"/>
      <c r="AX287" s="51"/>
      <c r="AY287" s="51"/>
      <c r="AZ287" s="51"/>
    </row>
    <row r="288" spans="1:52" s="52" customFormat="1" ht="148.5" customHeight="1" x14ac:dyDescent="0.4">
      <c r="A288" s="230"/>
      <c r="B288" s="233"/>
      <c r="C288" s="231"/>
      <c r="D288" s="231"/>
      <c r="E288" s="231"/>
      <c r="F288" s="232" t="s">
        <v>151</v>
      </c>
      <c r="G288" s="196">
        <v>15000</v>
      </c>
      <c r="H288" s="196" t="s">
        <v>36</v>
      </c>
      <c r="I288" s="196" t="s">
        <v>36</v>
      </c>
      <c r="J288" s="196" t="s">
        <v>36</v>
      </c>
      <c r="K288" s="196">
        <v>15000</v>
      </c>
      <c r="L288" s="196" t="s">
        <v>36</v>
      </c>
      <c r="M288" s="196" t="s">
        <v>36</v>
      </c>
      <c r="N288" s="196" t="s">
        <v>36</v>
      </c>
      <c r="O288" s="196" t="s">
        <v>36</v>
      </c>
      <c r="P288" s="226"/>
      <c r="Q288" s="226"/>
      <c r="R288" s="226"/>
      <c r="S288" s="226"/>
      <c r="T288" s="226"/>
      <c r="U288" s="226"/>
      <c r="V288" s="226"/>
      <c r="W288" s="226"/>
      <c r="X288" s="226"/>
      <c r="Y288" s="226"/>
      <c r="Z288" s="226"/>
      <c r="AA288" s="202"/>
      <c r="AB288" s="202"/>
      <c r="AC288" s="202"/>
      <c r="AD288" s="202"/>
      <c r="AE288" s="202"/>
      <c r="AF288" s="202"/>
      <c r="AG288" s="202"/>
      <c r="AH288" s="202"/>
      <c r="AI288" s="202"/>
      <c r="AJ288" s="51"/>
      <c r="AK288" s="51"/>
      <c r="AL288" s="51"/>
      <c r="AM288" s="51"/>
      <c r="AN288" s="51"/>
      <c r="AO288" s="51"/>
      <c r="AP288" s="51"/>
      <c r="AQ288" s="51"/>
      <c r="AR288" s="51"/>
      <c r="AS288" s="51"/>
      <c r="AT288" s="51"/>
      <c r="AU288" s="51"/>
      <c r="AV288" s="51"/>
      <c r="AW288" s="51"/>
      <c r="AX288" s="51"/>
      <c r="AY288" s="51"/>
      <c r="AZ288" s="51"/>
    </row>
    <row r="289" spans="1:26" ht="57" customHeight="1" x14ac:dyDescent="0.35">
      <c r="A289" s="10"/>
      <c r="B289" s="11"/>
      <c r="C289" s="12"/>
      <c r="D289" s="12"/>
      <c r="E289" s="10"/>
      <c r="F289" s="11"/>
      <c r="G289" s="15"/>
      <c r="H289" s="14"/>
      <c r="I289" s="14"/>
      <c r="J289" s="13"/>
      <c r="K289" s="14"/>
      <c r="L289" s="14"/>
      <c r="M289" s="14"/>
      <c r="N289" s="14"/>
      <c r="O289" s="14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57" customHeight="1" x14ac:dyDescent="0.35">
      <c r="G290" s="8"/>
    </row>
    <row r="291" spans="1:26" ht="57" customHeight="1" x14ac:dyDescent="0.35"/>
    <row r="292" spans="1:26" ht="57" customHeight="1" x14ac:dyDescent="0.35"/>
  </sheetData>
  <mergeCells count="1116">
    <mergeCell ref="W279:W281"/>
    <mergeCell ref="X279:X281"/>
    <mergeCell ref="Y279:Y281"/>
    <mergeCell ref="Z279:Z281"/>
    <mergeCell ref="A282:A284"/>
    <mergeCell ref="B282:B284"/>
    <mergeCell ref="C282:C284"/>
    <mergeCell ref="D282:D284"/>
    <mergeCell ref="E282:E284"/>
    <mergeCell ref="Z273:Z274"/>
    <mergeCell ref="B276:B278"/>
    <mergeCell ref="B279:B281"/>
    <mergeCell ref="P279:P281"/>
    <mergeCell ref="Q279:Q281"/>
    <mergeCell ref="R279:R281"/>
    <mergeCell ref="S279:S281"/>
    <mergeCell ref="T279:T281"/>
    <mergeCell ref="U279:U281"/>
    <mergeCell ref="V279:V281"/>
    <mergeCell ref="T273:T274"/>
    <mergeCell ref="U273:U274"/>
    <mergeCell ref="V273:V274"/>
    <mergeCell ref="W273:W274"/>
    <mergeCell ref="X273:X274"/>
    <mergeCell ref="Y273:Y274"/>
    <mergeCell ref="B270:B272"/>
    <mergeCell ref="B273:B275"/>
    <mergeCell ref="P273:P275"/>
    <mergeCell ref="Q273:Q274"/>
    <mergeCell ref="R273:R274"/>
    <mergeCell ref="S273:S274"/>
    <mergeCell ref="U267:U269"/>
    <mergeCell ref="V267:V269"/>
    <mergeCell ref="W267:W269"/>
    <mergeCell ref="X267:X269"/>
    <mergeCell ref="Y267:Y269"/>
    <mergeCell ref="Z267:Z269"/>
    <mergeCell ref="B267:B269"/>
    <mergeCell ref="P267:P269"/>
    <mergeCell ref="Q267:Q269"/>
    <mergeCell ref="R267:R269"/>
    <mergeCell ref="S267:S269"/>
    <mergeCell ref="T267:T269"/>
    <mergeCell ref="U264:U266"/>
    <mergeCell ref="V264:V266"/>
    <mergeCell ref="W264:W266"/>
    <mergeCell ref="X264:X266"/>
    <mergeCell ref="Y264:Y266"/>
    <mergeCell ref="Z264:Z266"/>
    <mergeCell ref="B264:B266"/>
    <mergeCell ref="P264:P266"/>
    <mergeCell ref="Q264:Q266"/>
    <mergeCell ref="R264:R266"/>
    <mergeCell ref="S264:S266"/>
    <mergeCell ref="T264:T266"/>
    <mergeCell ref="U261:U263"/>
    <mergeCell ref="V261:V263"/>
    <mergeCell ref="W261:W263"/>
    <mergeCell ref="X261:X263"/>
    <mergeCell ref="Y261:Y263"/>
    <mergeCell ref="Z261:Z263"/>
    <mergeCell ref="B261:B263"/>
    <mergeCell ref="P261:P263"/>
    <mergeCell ref="Q261:Q263"/>
    <mergeCell ref="R261:R263"/>
    <mergeCell ref="S261:S263"/>
    <mergeCell ref="T261:T263"/>
    <mergeCell ref="U258:U260"/>
    <mergeCell ref="V258:V260"/>
    <mergeCell ref="W258:W260"/>
    <mergeCell ref="X258:X260"/>
    <mergeCell ref="Y258:Y260"/>
    <mergeCell ref="Z258:Z260"/>
    <mergeCell ref="B258:B260"/>
    <mergeCell ref="P258:P260"/>
    <mergeCell ref="Q258:Q260"/>
    <mergeCell ref="R258:R260"/>
    <mergeCell ref="S258:S260"/>
    <mergeCell ref="T258:T260"/>
    <mergeCell ref="U255:U257"/>
    <mergeCell ref="V255:V257"/>
    <mergeCell ref="W255:W257"/>
    <mergeCell ref="X255:X257"/>
    <mergeCell ref="Y255:Y257"/>
    <mergeCell ref="Z255:Z257"/>
    <mergeCell ref="W252:W254"/>
    <mergeCell ref="X252:X254"/>
    <mergeCell ref="Y252:Y254"/>
    <mergeCell ref="Z252:Z254"/>
    <mergeCell ref="B255:B257"/>
    <mergeCell ref="P255:P257"/>
    <mergeCell ref="Q255:Q257"/>
    <mergeCell ref="R255:R257"/>
    <mergeCell ref="S255:S257"/>
    <mergeCell ref="T255:T257"/>
    <mergeCell ref="Z245:Z246"/>
    <mergeCell ref="B249:B251"/>
    <mergeCell ref="B252:B254"/>
    <mergeCell ref="P252:P254"/>
    <mergeCell ref="Q252:Q254"/>
    <mergeCell ref="R252:R254"/>
    <mergeCell ref="S252:S254"/>
    <mergeCell ref="T252:T254"/>
    <mergeCell ref="U252:U254"/>
    <mergeCell ref="V252:V254"/>
    <mergeCell ref="T245:T246"/>
    <mergeCell ref="U245:U246"/>
    <mergeCell ref="V245:V246"/>
    <mergeCell ref="W245:W246"/>
    <mergeCell ref="X245:X246"/>
    <mergeCell ref="Y245:Y246"/>
    <mergeCell ref="B242:B244"/>
    <mergeCell ref="B245:B247"/>
    <mergeCell ref="P245:P247"/>
    <mergeCell ref="Q245:Q246"/>
    <mergeCell ref="R245:R246"/>
    <mergeCell ref="S245:S246"/>
    <mergeCell ref="U239:U241"/>
    <mergeCell ref="V239:V241"/>
    <mergeCell ref="W239:W241"/>
    <mergeCell ref="X239:X241"/>
    <mergeCell ref="Y239:Y241"/>
    <mergeCell ref="Z239:Z241"/>
    <mergeCell ref="B239:B241"/>
    <mergeCell ref="P239:P241"/>
    <mergeCell ref="Q239:Q241"/>
    <mergeCell ref="R239:R241"/>
    <mergeCell ref="S239:S241"/>
    <mergeCell ref="T239:T241"/>
    <mergeCell ref="U236:U238"/>
    <mergeCell ref="V236:V238"/>
    <mergeCell ref="W236:W238"/>
    <mergeCell ref="X236:X238"/>
    <mergeCell ref="Y236:Y238"/>
    <mergeCell ref="Z236:Z238"/>
    <mergeCell ref="B236:B238"/>
    <mergeCell ref="P236:P238"/>
    <mergeCell ref="Q236:Q238"/>
    <mergeCell ref="R236:R238"/>
    <mergeCell ref="S236:S238"/>
    <mergeCell ref="T236:T238"/>
    <mergeCell ref="U233:U235"/>
    <mergeCell ref="V233:V235"/>
    <mergeCell ref="W233:W235"/>
    <mergeCell ref="X233:X235"/>
    <mergeCell ref="Y233:Y235"/>
    <mergeCell ref="Z233:Z235"/>
    <mergeCell ref="B233:B235"/>
    <mergeCell ref="P233:P235"/>
    <mergeCell ref="Q233:Q235"/>
    <mergeCell ref="R233:R235"/>
    <mergeCell ref="S233:S235"/>
    <mergeCell ref="T233:T235"/>
    <mergeCell ref="U230:U232"/>
    <mergeCell ref="V230:V232"/>
    <mergeCell ref="W230:W232"/>
    <mergeCell ref="X230:X232"/>
    <mergeCell ref="Y230:Y232"/>
    <mergeCell ref="Z230:Z232"/>
    <mergeCell ref="B230:B232"/>
    <mergeCell ref="P230:P232"/>
    <mergeCell ref="Q230:Q232"/>
    <mergeCell ref="R230:R232"/>
    <mergeCell ref="S230:S232"/>
    <mergeCell ref="T230:T232"/>
    <mergeCell ref="U227:U229"/>
    <mergeCell ref="V227:V229"/>
    <mergeCell ref="W227:W229"/>
    <mergeCell ref="X227:X229"/>
    <mergeCell ref="Y227:Y229"/>
    <mergeCell ref="Z227:Z229"/>
    <mergeCell ref="B227:B229"/>
    <mergeCell ref="P227:P229"/>
    <mergeCell ref="Q227:Q229"/>
    <mergeCell ref="R227:R229"/>
    <mergeCell ref="S227:S229"/>
    <mergeCell ref="T227:T229"/>
    <mergeCell ref="U224:U226"/>
    <mergeCell ref="V224:V226"/>
    <mergeCell ref="W224:W226"/>
    <mergeCell ref="X224:X226"/>
    <mergeCell ref="Y224:Y226"/>
    <mergeCell ref="Z224:Z226"/>
    <mergeCell ref="X218:X219"/>
    <mergeCell ref="Y218:Y219"/>
    <mergeCell ref="Z218:Z219"/>
    <mergeCell ref="B221:B223"/>
    <mergeCell ref="B224:B226"/>
    <mergeCell ref="P224:P226"/>
    <mergeCell ref="Q224:Q226"/>
    <mergeCell ref="R224:R226"/>
    <mergeCell ref="S224:S226"/>
    <mergeCell ref="T224:T226"/>
    <mergeCell ref="R218:R219"/>
    <mergeCell ref="S218:S219"/>
    <mergeCell ref="T218:T219"/>
    <mergeCell ref="U218:U219"/>
    <mergeCell ref="V218:V219"/>
    <mergeCell ref="W218:W219"/>
    <mergeCell ref="X214:X215"/>
    <mergeCell ref="Y214:Y215"/>
    <mergeCell ref="Z214:Z215"/>
    <mergeCell ref="A217:A219"/>
    <mergeCell ref="B217:B219"/>
    <mergeCell ref="C217:C219"/>
    <mergeCell ref="D217:D219"/>
    <mergeCell ref="E217:E219"/>
    <mergeCell ref="P217:P219"/>
    <mergeCell ref="Q218:Q219"/>
    <mergeCell ref="R214:R215"/>
    <mergeCell ref="S214:S215"/>
    <mergeCell ref="T214:T215"/>
    <mergeCell ref="U214:U215"/>
    <mergeCell ref="V214:V215"/>
    <mergeCell ref="W214:W215"/>
    <mergeCell ref="X211:X212"/>
    <mergeCell ref="Y211:Y212"/>
    <mergeCell ref="Z211:Z212"/>
    <mergeCell ref="A214:A216"/>
    <mergeCell ref="B214:B216"/>
    <mergeCell ref="C214:C216"/>
    <mergeCell ref="D214:D216"/>
    <mergeCell ref="E214:E216"/>
    <mergeCell ref="P214:P215"/>
    <mergeCell ref="Q214:Q215"/>
    <mergeCell ref="R211:R212"/>
    <mergeCell ref="S211:S212"/>
    <mergeCell ref="T211:T212"/>
    <mergeCell ref="U211:U212"/>
    <mergeCell ref="V211:V212"/>
    <mergeCell ref="W211:W212"/>
    <mergeCell ref="X208:X210"/>
    <mergeCell ref="Y208:Y210"/>
    <mergeCell ref="Z208:Z210"/>
    <mergeCell ref="A211:A213"/>
    <mergeCell ref="B211:B213"/>
    <mergeCell ref="C211:C213"/>
    <mergeCell ref="D211:D213"/>
    <mergeCell ref="E211:E213"/>
    <mergeCell ref="P211:P212"/>
    <mergeCell ref="Q211:Q212"/>
    <mergeCell ref="R208:R210"/>
    <mergeCell ref="S208:S210"/>
    <mergeCell ref="T208:T210"/>
    <mergeCell ref="U208:U210"/>
    <mergeCell ref="V208:V210"/>
    <mergeCell ref="W208:W210"/>
    <mergeCell ref="W205:W206"/>
    <mergeCell ref="X205:X206"/>
    <mergeCell ref="Y205:Y206"/>
    <mergeCell ref="Z205:Z206"/>
    <mergeCell ref="B208:B210"/>
    <mergeCell ref="C208:C210"/>
    <mergeCell ref="D208:D210"/>
    <mergeCell ref="E208:E210"/>
    <mergeCell ref="P208:P210"/>
    <mergeCell ref="Q208:Q210"/>
    <mergeCell ref="Q205:Q206"/>
    <mergeCell ref="R205:R206"/>
    <mergeCell ref="S205:S206"/>
    <mergeCell ref="T205:T206"/>
    <mergeCell ref="U205:U206"/>
    <mergeCell ref="V205:V206"/>
    <mergeCell ref="W202:W203"/>
    <mergeCell ref="X202:X203"/>
    <mergeCell ref="Y202:Y203"/>
    <mergeCell ref="Z202:Z203"/>
    <mergeCell ref="A205:A207"/>
    <mergeCell ref="B205:B207"/>
    <mergeCell ref="C205:C207"/>
    <mergeCell ref="D205:D207"/>
    <mergeCell ref="E205:E207"/>
    <mergeCell ref="P205:P206"/>
    <mergeCell ref="Q202:Q203"/>
    <mergeCell ref="R202:R203"/>
    <mergeCell ref="S202:S203"/>
    <mergeCell ref="T202:T203"/>
    <mergeCell ref="U202:U203"/>
    <mergeCell ref="V202:V203"/>
    <mergeCell ref="W199:W200"/>
    <mergeCell ref="X199:X200"/>
    <mergeCell ref="Y199:Y200"/>
    <mergeCell ref="Z199:Z200"/>
    <mergeCell ref="A202:A204"/>
    <mergeCell ref="B202:B204"/>
    <mergeCell ref="C202:C204"/>
    <mergeCell ref="D202:D204"/>
    <mergeCell ref="E202:E204"/>
    <mergeCell ref="P202:P203"/>
    <mergeCell ref="Q199:Q200"/>
    <mergeCell ref="R199:R200"/>
    <mergeCell ref="S199:S200"/>
    <mergeCell ref="T199:T200"/>
    <mergeCell ref="U199:U200"/>
    <mergeCell ref="V199:V200"/>
    <mergeCell ref="W195:W197"/>
    <mergeCell ref="X195:X197"/>
    <mergeCell ref="Y195:Y197"/>
    <mergeCell ref="Z195:Z197"/>
    <mergeCell ref="P198:P200"/>
    <mergeCell ref="A199:A201"/>
    <mergeCell ref="B199:B201"/>
    <mergeCell ref="C199:C201"/>
    <mergeCell ref="D199:D201"/>
    <mergeCell ref="E199:E200"/>
    <mergeCell ref="Q195:Q197"/>
    <mergeCell ref="R195:R197"/>
    <mergeCell ref="S195:S197"/>
    <mergeCell ref="T195:T197"/>
    <mergeCell ref="U195:U197"/>
    <mergeCell ref="V195:V197"/>
    <mergeCell ref="W192:W194"/>
    <mergeCell ref="X192:X194"/>
    <mergeCell ref="Y192:Y194"/>
    <mergeCell ref="Z192:Z194"/>
    <mergeCell ref="A195:A197"/>
    <mergeCell ref="B195:B197"/>
    <mergeCell ref="C195:C197"/>
    <mergeCell ref="D195:D197"/>
    <mergeCell ref="E195:E197"/>
    <mergeCell ref="P195:P197"/>
    <mergeCell ref="Q192:Q194"/>
    <mergeCell ref="R192:R194"/>
    <mergeCell ref="S192:S194"/>
    <mergeCell ref="T192:T194"/>
    <mergeCell ref="U192:U194"/>
    <mergeCell ref="V192:V194"/>
    <mergeCell ref="W189:W191"/>
    <mergeCell ref="X189:X191"/>
    <mergeCell ref="Y189:Y191"/>
    <mergeCell ref="Z189:Z191"/>
    <mergeCell ref="A192:A194"/>
    <mergeCell ref="B192:B194"/>
    <mergeCell ref="C192:C194"/>
    <mergeCell ref="D192:D194"/>
    <mergeCell ref="E192:E194"/>
    <mergeCell ref="P192:P194"/>
    <mergeCell ref="Q189:Q191"/>
    <mergeCell ref="R189:R191"/>
    <mergeCell ref="S189:S191"/>
    <mergeCell ref="T189:T191"/>
    <mergeCell ref="U189:U191"/>
    <mergeCell ref="V189:V191"/>
    <mergeCell ref="P186:P188"/>
    <mergeCell ref="A189:A191"/>
    <mergeCell ref="B189:B191"/>
    <mergeCell ref="C189:C191"/>
    <mergeCell ref="D189:D191"/>
    <mergeCell ref="E189:E191"/>
    <mergeCell ref="P189:P191"/>
    <mergeCell ref="V183:V185"/>
    <mergeCell ref="W183:W185"/>
    <mergeCell ref="X183:X185"/>
    <mergeCell ref="Y183:Y185"/>
    <mergeCell ref="Z183:Z185"/>
    <mergeCell ref="A186:A188"/>
    <mergeCell ref="B186:B188"/>
    <mergeCell ref="C186:C188"/>
    <mergeCell ref="D186:D188"/>
    <mergeCell ref="E186:E188"/>
    <mergeCell ref="P183:P185"/>
    <mergeCell ref="Q183:Q185"/>
    <mergeCell ref="R183:R185"/>
    <mergeCell ref="S183:S185"/>
    <mergeCell ref="T183:T185"/>
    <mergeCell ref="U183:U185"/>
    <mergeCell ref="V180:V182"/>
    <mergeCell ref="W180:W182"/>
    <mergeCell ref="X180:X182"/>
    <mergeCell ref="Y180:Y182"/>
    <mergeCell ref="Z180:Z182"/>
    <mergeCell ref="A183:A185"/>
    <mergeCell ref="B183:B185"/>
    <mergeCell ref="C183:C185"/>
    <mergeCell ref="D183:D185"/>
    <mergeCell ref="E183:E185"/>
    <mergeCell ref="P180:P182"/>
    <mergeCell ref="Q180:Q182"/>
    <mergeCell ref="R180:R182"/>
    <mergeCell ref="S180:S182"/>
    <mergeCell ref="T180:T182"/>
    <mergeCell ref="U180:U182"/>
    <mergeCell ref="V177:V179"/>
    <mergeCell ref="W177:W179"/>
    <mergeCell ref="X177:X179"/>
    <mergeCell ref="Y177:Y179"/>
    <mergeCell ref="Z177:Z179"/>
    <mergeCell ref="A180:A182"/>
    <mergeCell ref="B180:B182"/>
    <mergeCell ref="C180:C182"/>
    <mergeCell ref="D180:D182"/>
    <mergeCell ref="E180:E182"/>
    <mergeCell ref="P177:P179"/>
    <mergeCell ref="Q177:Q179"/>
    <mergeCell ref="R177:R179"/>
    <mergeCell ref="S177:S179"/>
    <mergeCell ref="T177:T179"/>
    <mergeCell ref="U177:U179"/>
    <mergeCell ref="V174:V176"/>
    <mergeCell ref="W174:W176"/>
    <mergeCell ref="X174:X176"/>
    <mergeCell ref="Y174:Y176"/>
    <mergeCell ref="Z174:Z176"/>
    <mergeCell ref="A177:A179"/>
    <mergeCell ref="B177:B179"/>
    <mergeCell ref="C177:C179"/>
    <mergeCell ref="D177:D179"/>
    <mergeCell ref="E177:E179"/>
    <mergeCell ref="P174:P176"/>
    <mergeCell ref="Q174:Q176"/>
    <mergeCell ref="R174:R176"/>
    <mergeCell ref="S174:S176"/>
    <mergeCell ref="T174:T176"/>
    <mergeCell ref="U174:U176"/>
    <mergeCell ref="V171:V173"/>
    <mergeCell ref="W171:W173"/>
    <mergeCell ref="X171:X173"/>
    <mergeCell ref="Y171:Y173"/>
    <mergeCell ref="Z171:Z173"/>
    <mergeCell ref="A174:A176"/>
    <mergeCell ref="B174:B176"/>
    <mergeCell ref="C174:C176"/>
    <mergeCell ref="D174:D176"/>
    <mergeCell ref="E174:E176"/>
    <mergeCell ref="P171:P173"/>
    <mergeCell ref="Q171:Q173"/>
    <mergeCell ref="R171:R173"/>
    <mergeCell ref="S171:S173"/>
    <mergeCell ref="T171:T173"/>
    <mergeCell ref="U171:U173"/>
    <mergeCell ref="V168:V170"/>
    <mergeCell ref="W168:W170"/>
    <mergeCell ref="X168:X170"/>
    <mergeCell ref="Y168:Y170"/>
    <mergeCell ref="Z168:Z170"/>
    <mergeCell ref="A171:A173"/>
    <mergeCell ref="B171:B173"/>
    <mergeCell ref="C171:C173"/>
    <mergeCell ref="D171:D173"/>
    <mergeCell ref="E171:E173"/>
    <mergeCell ref="P168:P170"/>
    <mergeCell ref="Q168:Q170"/>
    <mergeCell ref="R168:R170"/>
    <mergeCell ref="S168:S170"/>
    <mergeCell ref="T168:T170"/>
    <mergeCell ref="U168:U170"/>
    <mergeCell ref="A164:A166"/>
    <mergeCell ref="B164:B166"/>
    <mergeCell ref="C164:C166"/>
    <mergeCell ref="D164:D166"/>
    <mergeCell ref="E164:E166"/>
    <mergeCell ref="A168:A170"/>
    <mergeCell ref="B168:B170"/>
    <mergeCell ref="C168:C170"/>
    <mergeCell ref="D168:D170"/>
    <mergeCell ref="E168:E170"/>
    <mergeCell ref="V158:V160"/>
    <mergeCell ref="W158:W160"/>
    <mergeCell ref="X158:X160"/>
    <mergeCell ref="Y158:Y160"/>
    <mergeCell ref="Z158:Z160"/>
    <mergeCell ref="A161:A163"/>
    <mergeCell ref="B161:B163"/>
    <mergeCell ref="C161:C163"/>
    <mergeCell ref="D161:D163"/>
    <mergeCell ref="E161:E163"/>
    <mergeCell ref="P158:P160"/>
    <mergeCell ref="Q158:Q160"/>
    <mergeCell ref="R158:R160"/>
    <mergeCell ref="S158:S160"/>
    <mergeCell ref="T158:T160"/>
    <mergeCell ref="U158:U160"/>
    <mergeCell ref="A155:A157"/>
    <mergeCell ref="B155:B157"/>
    <mergeCell ref="C155:C157"/>
    <mergeCell ref="D155:D157"/>
    <mergeCell ref="E155:E157"/>
    <mergeCell ref="B158:B160"/>
    <mergeCell ref="C158:C160"/>
    <mergeCell ref="D158:D160"/>
    <mergeCell ref="E158:E160"/>
    <mergeCell ref="W149:W150"/>
    <mergeCell ref="X149:X150"/>
    <mergeCell ref="Y149:Y150"/>
    <mergeCell ref="Z149:Z150"/>
    <mergeCell ref="A152:A154"/>
    <mergeCell ref="B152:B154"/>
    <mergeCell ref="C152:C154"/>
    <mergeCell ref="D152:D154"/>
    <mergeCell ref="E152:E154"/>
    <mergeCell ref="Q149:Q150"/>
    <mergeCell ref="R149:R150"/>
    <mergeCell ref="S149:S150"/>
    <mergeCell ref="T149:T150"/>
    <mergeCell ref="U149:U150"/>
    <mergeCell ref="V149:V150"/>
    <mergeCell ref="A149:A151"/>
    <mergeCell ref="B149:B151"/>
    <mergeCell ref="C149:C151"/>
    <mergeCell ref="D149:D151"/>
    <mergeCell ref="E149:E150"/>
    <mergeCell ref="P149:P151"/>
    <mergeCell ref="W143:W145"/>
    <mergeCell ref="X143:X145"/>
    <mergeCell ref="Y143:Y145"/>
    <mergeCell ref="Z143:Z145"/>
    <mergeCell ref="A146:A148"/>
    <mergeCell ref="B146:B148"/>
    <mergeCell ref="C146:C148"/>
    <mergeCell ref="D146:D148"/>
    <mergeCell ref="E146:E148"/>
    <mergeCell ref="Q143:Q145"/>
    <mergeCell ref="R143:R145"/>
    <mergeCell ref="S143:S145"/>
    <mergeCell ref="T143:T145"/>
    <mergeCell ref="U143:U145"/>
    <mergeCell ref="V143:V145"/>
    <mergeCell ref="A143:A145"/>
    <mergeCell ref="B143:B145"/>
    <mergeCell ref="C143:C145"/>
    <mergeCell ref="D143:D145"/>
    <mergeCell ref="E143:E145"/>
    <mergeCell ref="P143:P145"/>
    <mergeCell ref="Y137:Y139"/>
    <mergeCell ref="Z137:Z139"/>
    <mergeCell ref="A140:A142"/>
    <mergeCell ref="B140:B142"/>
    <mergeCell ref="C140:C142"/>
    <mergeCell ref="D140:D142"/>
    <mergeCell ref="E140:E142"/>
    <mergeCell ref="S137:S139"/>
    <mergeCell ref="T137:T139"/>
    <mergeCell ref="U137:U139"/>
    <mergeCell ref="V137:V139"/>
    <mergeCell ref="W137:W139"/>
    <mergeCell ref="X137:X139"/>
    <mergeCell ref="Y134:Y136"/>
    <mergeCell ref="Z134:Z136"/>
    <mergeCell ref="A137:A139"/>
    <mergeCell ref="B137:B139"/>
    <mergeCell ref="C137:C139"/>
    <mergeCell ref="D137:D139"/>
    <mergeCell ref="E137:E139"/>
    <mergeCell ref="P137:P139"/>
    <mergeCell ref="Q137:Q139"/>
    <mergeCell ref="R137:R139"/>
    <mergeCell ref="S134:S136"/>
    <mergeCell ref="T134:T136"/>
    <mergeCell ref="U134:U136"/>
    <mergeCell ref="V134:V136"/>
    <mergeCell ref="W134:W136"/>
    <mergeCell ref="X134:X136"/>
    <mergeCell ref="Y131:Y133"/>
    <mergeCell ref="Z131:Z133"/>
    <mergeCell ref="A134:A136"/>
    <mergeCell ref="B134:B136"/>
    <mergeCell ref="C134:C136"/>
    <mergeCell ref="D134:D136"/>
    <mergeCell ref="E134:E136"/>
    <mergeCell ref="P134:P136"/>
    <mergeCell ref="Q134:Q136"/>
    <mergeCell ref="R134:R136"/>
    <mergeCell ref="S131:S133"/>
    <mergeCell ref="T131:T133"/>
    <mergeCell ref="U131:U133"/>
    <mergeCell ref="V131:V133"/>
    <mergeCell ref="W131:W133"/>
    <mergeCell ref="X131:X133"/>
    <mergeCell ref="Y128:Y130"/>
    <mergeCell ref="Z128:Z130"/>
    <mergeCell ref="A131:A133"/>
    <mergeCell ref="B131:B133"/>
    <mergeCell ref="C131:C133"/>
    <mergeCell ref="D131:D133"/>
    <mergeCell ref="E131:E133"/>
    <mergeCell ref="P131:P133"/>
    <mergeCell ref="Q131:Q133"/>
    <mergeCell ref="R131:R133"/>
    <mergeCell ref="S128:S130"/>
    <mergeCell ref="T128:T130"/>
    <mergeCell ref="U128:U130"/>
    <mergeCell ref="V128:V130"/>
    <mergeCell ref="W128:W130"/>
    <mergeCell ref="X128:X130"/>
    <mergeCell ref="Y125:Y127"/>
    <mergeCell ref="Z125:Z127"/>
    <mergeCell ref="A128:A130"/>
    <mergeCell ref="B128:B130"/>
    <mergeCell ref="C128:C130"/>
    <mergeCell ref="D128:D130"/>
    <mergeCell ref="E128:E130"/>
    <mergeCell ref="P128:P130"/>
    <mergeCell ref="Q128:Q130"/>
    <mergeCell ref="R128:R130"/>
    <mergeCell ref="S125:S127"/>
    <mergeCell ref="T125:T127"/>
    <mergeCell ref="U125:U127"/>
    <mergeCell ref="V125:V127"/>
    <mergeCell ref="W125:W127"/>
    <mergeCell ref="X125:X127"/>
    <mergeCell ref="Y122:Y124"/>
    <mergeCell ref="Z122:Z124"/>
    <mergeCell ref="A125:A127"/>
    <mergeCell ref="B125:B127"/>
    <mergeCell ref="C125:C127"/>
    <mergeCell ref="D125:D127"/>
    <mergeCell ref="E125:E127"/>
    <mergeCell ref="P125:P127"/>
    <mergeCell ref="Q125:Q127"/>
    <mergeCell ref="R125:R127"/>
    <mergeCell ref="S122:S124"/>
    <mergeCell ref="T122:T124"/>
    <mergeCell ref="U122:U124"/>
    <mergeCell ref="V122:V124"/>
    <mergeCell ref="W122:W124"/>
    <mergeCell ref="X122:X124"/>
    <mergeCell ref="C122:C124"/>
    <mergeCell ref="D122:D124"/>
    <mergeCell ref="E122:E124"/>
    <mergeCell ref="P122:P124"/>
    <mergeCell ref="Q122:Q124"/>
    <mergeCell ref="R122:R124"/>
    <mergeCell ref="A115:A117"/>
    <mergeCell ref="B115:B117"/>
    <mergeCell ref="A118:A120"/>
    <mergeCell ref="B118:B120"/>
    <mergeCell ref="A122:A124"/>
    <mergeCell ref="B122:B124"/>
    <mergeCell ref="Y106:Y108"/>
    <mergeCell ref="Z106:Z108"/>
    <mergeCell ref="A109:A111"/>
    <mergeCell ref="B109:B111"/>
    <mergeCell ref="P109:P111"/>
    <mergeCell ref="A112:A114"/>
    <mergeCell ref="B112:B114"/>
    <mergeCell ref="S106:S108"/>
    <mergeCell ref="T106:T108"/>
    <mergeCell ref="U106:U108"/>
    <mergeCell ref="V106:V108"/>
    <mergeCell ref="W106:W108"/>
    <mergeCell ref="X106:X108"/>
    <mergeCell ref="Z109:Z111"/>
    <mergeCell ref="B103:B105"/>
    <mergeCell ref="A106:A108"/>
    <mergeCell ref="B106:B108"/>
    <mergeCell ref="P106:P108"/>
    <mergeCell ref="Q106:Q108"/>
    <mergeCell ref="R106:R108"/>
    <mergeCell ref="A97:A99"/>
    <mergeCell ref="B97:B99"/>
    <mergeCell ref="C97:C99"/>
    <mergeCell ref="D97:D99"/>
    <mergeCell ref="E97:E99"/>
    <mergeCell ref="B100:B102"/>
    <mergeCell ref="U94:U96"/>
    <mergeCell ref="V94:V96"/>
    <mergeCell ref="W94:W96"/>
    <mergeCell ref="X94:X96"/>
    <mergeCell ref="Y94:Y96"/>
    <mergeCell ref="Z94:Z96"/>
    <mergeCell ref="B94:B96"/>
    <mergeCell ref="P94:P96"/>
    <mergeCell ref="Q94:Q96"/>
    <mergeCell ref="R94:R96"/>
    <mergeCell ref="S94:S96"/>
    <mergeCell ref="T94:T96"/>
    <mergeCell ref="Z87:Z89"/>
    <mergeCell ref="A90:A93"/>
    <mergeCell ref="B90:B93"/>
    <mergeCell ref="C90:C93"/>
    <mergeCell ref="D90:D93"/>
    <mergeCell ref="E90:E93"/>
    <mergeCell ref="T87:T89"/>
    <mergeCell ref="U87:U89"/>
    <mergeCell ref="V87:V89"/>
    <mergeCell ref="W87:W89"/>
    <mergeCell ref="X87:X89"/>
    <mergeCell ref="Y87:Y89"/>
    <mergeCell ref="Z84:Z86"/>
    <mergeCell ref="A87:A89"/>
    <mergeCell ref="B87:B89"/>
    <mergeCell ref="C87:C89"/>
    <mergeCell ref="D87:D89"/>
    <mergeCell ref="E87:E89"/>
    <mergeCell ref="P87:P89"/>
    <mergeCell ref="Q87:Q89"/>
    <mergeCell ref="R87:R89"/>
    <mergeCell ref="S87:S89"/>
    <mergeCell ref="T84:T86"/>
    <mergeCell ref="U84:U86"/>
    <mergeCell ref="V84:V86"/>
    <mergeCell ref="W84:W86"/>
    <mergeCell ref="X84:X86"/>
    <mergeCell ref="Y84:Y86"/>
    <mergeCell ref="Z81:Z83"/>
    <mergeCell ref="A84:A86"/>
    <mergeCell ref="B84:B86"/>
    <mergeCell ref="C84:C86"/>
    <mergeCell ref="D84:D86"/>
    <mergeCell ref="E84:E86"/>
    <mergeCell ref="P84:P86"/>
    <mergeCell ref="Q84:Q86"/>
    <mergeCell ref="R84:R86"/>
    <mergeCell ref="S84:S86"/>
    <mergeCell ref="T81:T83"/>
    <mergeCell ref="U81:U83"/>
    <mergeCell ref="V81:V83"/>
    <mergeCell ref="W81:W83"/>
    <mergeCell ref="X81:X83"/>
    <mergeCell ref="Y81:Y83"/>
    <mergeCell ref="Z77:Z80"/>
    <mergeCell ref="A81:A83"/>
    <mergeCell ref="B81:B83"/>
    <mergeCell ref="C81:C83"/>
    <mergeCell ref="D81:D83"/>
    <mergeCell ref="E81:E83"/>
    <mergeCell ref="P81:P83"/>
    <mergeCell ref="Q81:Q83"/>
    <mergeCell ref="R81:R83"/>
    <mergeCell ref="S81:S83"/>
    <mergeCell ref="T77:T80"/>
    <mergeCell ref="U77:U80"/>
    <mergeCell ref="V77:V80"/>
    <mergeCell ref="W77:W80"/>
    <mergeCell ref="X77:X80"/>
    <mergeCell ref="Y77:Y80"/>
    <mergeCell ref="N77:N78"/>
    <mergeCell ref="O77:O78"/>
    <mergeCell ref="P77:P80"/>
    <mergeCell ref="Q77:Q80"/>
    <mergeCell ref="R77:R80"/>
    <mergeCell ref="S77:S80"/>
    <mergeCell ref="H77:H78"/>
    <mergeCell ref="I77:I78"/>
    <mergeCell ref="J77:J78"/>
    <mergeCell ref="K77:K78"/>
    <mergeCell ref="L77:L78"/>
    <mergeCell ref="M77:M78"/>
    <mergeCell ref="X74:X76"/>
    <mergeCell ref="Y74:Y76"/>
    <mergeCell ref="Z74:Z76"/>
    <mergeCell ref="A77:A80"/>
    <mergeCell ref="B77:B80"/>
    <mergeCell ref="C77:C80"/>
    <mergeCell ref="D77:D80"/>
    <mergeCell ref="E77:E80"/>
    <mergeCell ref="F77:F78"/>
    <mergeCell ref="G77:G78"/>
    <mergeCell ref="R74:R76"/>
    <mergeCell ref="S74:S76"/>
    <mergeCell ref="T74:T76"/>
    <mergeCell ref="U74:U76"/>
    <mergeCell ref="V74:V76"/>
    <mergeCell ref="W74:W76"/>
    <mergeCell ref="W71:W73"/>
    <mergeCell ref="X71:X73"/>
    <mergeCell ref="Y71:Y73"/>
    <mergeCell ref="Z71:Z73"/>
    <mergeCell ref="A74:A76"/>
    <mergeCell ref="B74:B76"/>
    <mergeCell ref="C74:C76"/>
    <mergeCell ref="D74:D76"/>
    <mergeCell ref="E74:E76"/>
    <mergeCell ref="Q74:Q76"/>
    <mergeCell ref="Q71:Q73"/>
    <mergeCell ref="R71:R73"/>
    <mergeCell ref="S71:S73"/>
    <mergeCell ref="T71:T73"/>
    <mergeCell ref="U71:U73"/>
    <mergeCell ref="V71:V73"/>
    <mergeCell ref="X64:X66"/>
    <mergeCell ref="Y64:Y66"/>
    <mergeCell ref="Z64:Z66"/>
    <mergeCell ref="B67:B69"/>
    <mergeCell ref="A71:A73"/>
    <mergeCell ref="B71:B73"/>
    <mergeCell ref="C71:C73"/>
    <mergeCell ref="D71:D73"/>
    <mergeCell ref="E71:E73"/>
    <mergeCell ref="P71:P73"/>
    <mergeCell ref="R64:R66"/>
    <mergeCell ref="S64:S66"/>
    <mergeCell ref="T64:T66"/>
    <mergeCell ref="U64:U66"/>
    <mergeCell ref="V64:V66"/>
    <mergeCell ref="W64:W66"/>
    <mergeCell ref="X61:X63"/>
    <mergeCell ref="Y61:Y63"/>
    <mergeCell ref="Z61:Z63"/>
    <mergeCell ref="A64:A66"/>
    <mergeCell ref="B64:B66"/>
    <mergeCell ref="C64:C66"/>
    <mergeCell ref="D64:D66"/>
    <mergeCell ref="E64:E66"/>
    <mergeCell ref="P64:P66"/>
    <mergeCell ref="Q64:Q66"/>
    <mergeCell ref="R61:R63"/>
    <mergeCell ref="S61:S63"/>
    <mergeCell ref="T61:T63"/>
    <mergeCell ref="U61:U63"/>
    <mergeCell ref="V61:V63"/>
    <mergeCell ref="W61:W63"/>
    <mergeCell ref="X58:X60"/>
    <mergeCell ref="Y58:Y60"/>
    <mergeCell ref="Z58:Z60"/>
    <mergeCell ref="A61:A63"/>
    <mergeCell ref="B61:B63"/>
    <mergeCell ref="C61:C63"/>
    <mergeCell ref="D61:D63"/>
    <mergeCell ref="E61:E63"/>
    <mergeCell ref="P61:P63"/>
    <mergeCell ref="Q61:Q63"/>
    <mergeCell ref="R58:R60"/>
    <mergeCell ref="S58:S60"/>
    <mergeCell ref="T58:T60"/>
    <mergeCell ref="U58:U60"/>
    <mergeCell ref="V58:V60"/>
    <mergeCell ref="W58:W60"/>
    <mergeCell ref="W55:W57"/>
    <mergeCell ref="X55:X57"/>
    <mergeCell ref="Y55:Y57"/>
    <mergeCell ref="Z55:Z57"/>
    <mergeCell ref="B58:B60"/>
    <mergeCell ref="C58:C60"/>
    <mergeCell ref="D58:D60"/>
    <mergeCell ref="E58:E60"/>
    <mergeCell ref="P58:P60"/>
    <mergeCell ref="Q58:Q60"/>
    <mergeCell ref="Q55:Q57"/>
    <mergeCell ref="R55:R57"/>
    <mergeCell ref="S55:S57"/>
    <mergeCell ref="T55:T57"/>
    <mergeCell ref="U55:U57"/>
    <mergeCell ref="V55:V57"/>
    <mergeCell ref="A55:A57"/>
    <mergeCell ref="B55:B57"/>
    <mergeCell ref="C55:C57"/>
    <mergeCell ref="D55:D57"/>
    <mergeCell ref="E55:E57"/>
    <mergeCell ref="P55:P57"/>
    <mergeCell ref="Q52:Q54"/>
    <mergeCell ref="R52:R54"/>
    <mergeCell ref="S52:S54"/>
    <mergeCell ref="T52:T54"/>
    <mergeCell ref="U52:U54"/>
    <mergeCell ref="V52:V54"/>
    <mergeCell ref="A52:A54"/>
    <mergeCell ref="B52:B54"/>
    <mergeCell ref="C52:C54"/>
    <mergeCell ref="D52:D54"/>
    <mergeCell ref="E52:E54"/>
    <mergeCell ref="P52:P54"/>
    <mergeCell ref="Y48:Y51"/>
    <mergeCell ref="Z48:Z51"/>
    <mergeCell ref="O48:O49"/>
    <mergeCell ref="P48:P51"/>
    <mergeCell ref="Q48:Q51"/>
    <mergeCell ref="R48:R51"/>
    <mergeCell ref="S48:S51"/>
    <mergeCell ref="T48:T51"/>
    <mergeCell ref="I48:I49"/>
    <mergeCell ref="J48:J49"/>
    <mergeCell ref="K48:K49"/>
    <mergeCell ref="L48:L49"/>
    <mergeCell ref="M48:M49"/>
    <mergeCell ref="N48:N49"/>
    <mergeCell ref="W52:W54"/>
    <mergeCell ref="X52:X54"/>
    <mergeCell ref="Y52:Y54"/>
    <mergeCell ref="Z52:Z54"/>
    <mergeCell ref="Y44:Y47"/>
    <mergeCell ref="Z44:Z47"/>
    <mergeCell ref="A48:A51"/>
    <mergeCell ref="B48:B51"/>
    <mergeCell ref="C48:C51"/>
    <mergeCell ref="D48:D51"/>
    <mergeCell ref="E48:E51"/>
    <mergeCell ref="F48:F49"/>
    <mergeCell ref="G48:G49"/>
    <mergeCell ref="H48:H49"/>
    <mergeCell ref="S44:S47"/>
    <mergeCell ref="T44:T47"/>
    <mergeCell ref="U44:U47"/>
    <mergeCell ref="V44:V47"/>
    <mergeCell ref="W44:W47"/>
    <mergeCell ref="X44:X47"/>
    <mergeCell ref="M44:M45"/>
    <mergeCell ref="N44:N45"/>
    <mergeCell ref="O44:O45"/>
    <mergeCell ref="P44:P47"/>
    <mergeCell ref="Q44:Q47"/>
    <mergeCell ref="R44:R47"/>
    <mergeCell ref="G44:G45"/>
    <mergeCell ref="H44:H45"/>
    <mergeCell ref="I44:I45"/>
    <mergeCell ref="J44:J45"/>
    <mergeCell ref="K44:K45"/>
    <mergeCell ref="L44:L45"/>
    <mergeCell ref="U48:U51"/>
    <mergeCell ref="V48:V51"/>
    <mergeCell ref="W48:W51"/>
    <mergeCell ref="X48:X51"/>
    <mergeCell ref="U37:U40"/>
    <mergeCell ref="V37:V40"/>
    <mergeCell ref="W37:W40"/>
    <mergeCell ref="X37:X40"/>
    <mergeCell ref="M37:M38"/>
    <mergeCell ref="N37:N38"/>
    <mergeCell ref="O37:O38"/>
    <mergeCell ref="P37:P40"/>
    <mergeCell ref="Q37:Q40"/>
    <mergeCell ref="R37:R40"/>
    <mergeCell ref="G37:G38"/>
    <mergeCell ref="H37:H38"/>
    <mergeCell ref="I37:I38"/>
    <mergeCell ref="J37:J38"/>
    <mergeCell ref="K37:K38"/>
    <mergeCell ref="L37:L38"/>
    <mergeCell ref="A37:A40"/>
    <mergeCell ref="B37:B40"/>
    <mergeCell ref="C37:C40"/>
    <mergeCell ref="D37:D40"/>
    <mergeCell ref="E37:E40"/>
    <mergeCell ref="F37:F38"/>
    <mergeCell ref="S33:S36"/>
    <mergeCell ref="T33:T36"/>
    <mergeCell ref="I33:I34"/>
    <mergeCell ref="J33:J34"/>
    <mergeCell ref="K33:K34"/>
    <mergeCell ref="L33:L34"/>
    <mergeCell ref="M33:M34"/>
    <mergeCell ref="N33:N34"/>
    <mergeCell ref="B41:B43"/>
    <mergeCell ref="P41:P43"/>
    <mergeCell ref="A44:A47"/>
    <mergeCell ref="B44:B47"/>
    <mergeCell ref="C44:C47"/>
    <mergeCell ref="D44:D47"/>
    <mergeCell ref="E44:E47"/>
    <mergeCell ref="F44:F45"/>
    <mergeCell ref="S37:S40"/>
    <mergeCell ref="T37:T40"/>
    <mergeCell ref="Y37:Y40"/>
    <mergeCell ref="Z37:Z40"/>
    <mergeCell ref="A33:A36"/>
    <mergeCell ref="B33:B36"/>
    <mergeCell ref="C33:C36"/>
    <mergeCell ref="D33:D36"/>
    <mergeCell ref="E33:E36"/>
    <mergeCell ref="F33:F34"/>
    <mergeCell ref="G33:G34"/>
    <mergeCell ref="H33:H34"/>
    <mergeCell ref="S29:S32"/>
    <mergeCell ref="T29:T32"/>
    <mergeCell ref="U29:U32"/>
    <mergeCell ref="V29:V32"/>
    <mergeCell ref="W29:W32"/>
    <mergeCell ref="X29:X32"/>
    <mergeCell ref="M29:M30"/>
    <mergeCell ref="N29:N30"/>
    <mergeCell ref="O29:O30"/>
    <mergeCell ref="P29:P32"/>
    <mergeCell ref="Q29:Q32"/>
    <mergeCell ref="R29:R32"/>
    <mergeCell ref="U33:U36"/>
    <mergeCell ref="V33:V36"/>
    <mergeCell ref="W33:W36"/>
    <mergeCell ref="X33:X36"/>
    <mergeCell ref="Y33:Y36"/>
    <mergeCell ref="Z33:Z36"/>
    <mergeCell ref="O33:O34"/>
    <mergeCell ref="P33:P36"/>
    <mergeCell ref="Q33:Q36"/>
    <mergeCell ref="R33:R36"/>
    <mergeCell ref="AU28:AV28"/>
    <mergeCell ref="AW28:AX28"/>
    <mergeCell ref="AY28:AZ28"/>
    <mergeCell ref="A29:A32"/>
    <mergeCell ref="B29:B32"/>
    <mergeCell ref="C29:C32"/>
    <mergeCell ref="D29:D32"/>
    <mergeCell ref="F29:F30"/>
    <mergeCell ref="G29:G30"/>
    <mergeCell ref="H29:H30"/>
    <mergeCell ref="AI28:AJ28"/>
    <mergeCell ref="AK28:AL28"/>
    <mergeCell ref="AM28:AN28"/>
    <mergeCell ref="AO28:AP28"/>
    <mergeCell ref="AQ28:AR28"/>
    <mergeCell ref="AS28:AT28"/>
    <mergeCell ref="P25:P27"/>
    <mergeCell ref="E28:E32"/>
    <mergeCell ref="AA28:AB28"/>
    <mergeCell ref="AC28:AD28"/>
    <mergeCell ref="AE28:AF28"/>
    <mergeCell ref="AG28:AH28"/>
    <mergeCell ref="I29:I30"/>
    <mergeCell ref="J29:J30"/>
    <mergeCell ref="K29:K30"/>
    <mergeCell ref="L29:L30"/>
    <mergeCell ref="Y29:Y32"/>
    <mergeCell ref="Z29:Z32"/>
    <mergeCell ref="V22:V24"/>
    <mergeCell ref="W22:W24"/>
    <mergeCell ref="X22:X24"/>
    <mergeCell ref="Y22:Y24"/>
    <mergeCell ref="Z22:Z24"/>
    <mergeCell ref="A25:A27"/>
    <mergeCell ref="B25:B27"/>
    <mergeCell ref="C25:C27"/>
    <mergeCell ref="D25:D27"/>
    <mergeCell ref="E25:E27"/>
    <mergeCell ref="P22:P24"/>
    <mergeCell ref="Q22:Q24"/>
    <mergeCell ref="R22:R24"/>
    <mergeCell ref="S22:S24"/>
    <mergeCell ref="T22:T24"/>
    <mergeCell ref="U22:U24"/>
    <mergeCell ref="V19:V21"/>
    <mergeCell ref="W19:W21"/>
    <mergeCell ref="X19:X21"/>
    <mergeCell ref="Y19:Y21"/>
    <mergeCell ref="Z19:Z21"/>
    <mergeCell ref="A22:A24"/>
    <mergeCell ref="B22:B24"/>
    <mergeCell ref="C22:C24"/>
    <mergeCell ref="D22:D24"/>
    <mergeCell ref="E22:E24"/>
    <mergeCell ref="P19:P21"/>
    <mergeCell ref="Q19:Q21"/>
    <mergeCell ref="R19:R21"/>
    <mergeCell ref="S19:S21"/>
    <mergeCell ref="T19:T21"/>
    <mergeCell ref="U19:U21"/>
    <mergeCell ref="AQ16:AR17"/>
    <mergeCell ref="AS16:AT17"/>
    <mergeCell ref="AU16:AV17"/>
    <mergeCell ref="AW16:AX17"/>
    <mergeCell ref="AY16:AZ17"/>
    <mergeCell ref="A19:A21"/>
    <mergeCell ref="B19:B21"/>
    <mergeCell ref="C19:C21"/>
    <mergeCell ref="D19:D21"/>
    <mergeCell ref="E19:E21"/>
    <mergeCell ref="AE16:AF17"/>
    <mergeCell ref="AG16:AH17"/>
    <mergeCell ref="AI16:AJ17"/>
    <mergeCell ref="AK16:AL17"/>
    <mergeCell ref="AM16:AN17"/>
    <mergeCell ref="AO16:AP17"/>
    <mergeCell ref="W16:W17"/>
    <mergeCell ref="X16:X17"/>
    <mergeCell ref="Y16:Y17"/>
    <mergeCell ref="Z16:Z17"/>
    <mergeCell ref="AA16:AB17"/>
    <mergeCell ref="AC16:AD17"/>
    <mergeCell ref="M13:M14"/>
    <mergeCell ref="P9:Y9"/>
    <mergeCell ref="F10:F14"/>
    <mergeCell ref="G10:N10"/>
    <mergeCell ref="P10:P14"/>
    <mergeCell ref="R10:Y10"/>
    <mergeCell ref="G11:G14"/>
    <mergeCell ref="H11:N11"/>
    <mergeCell ref="R11:R14"/>
    <mergeCell ref="S11:Y12"/>
    <mergeCell ref="N13:N14"/>
    <mergeCell ref="X13:X14"/>
    <mergeCell ref="Y13:Y14"/>
    <mergeCell ref="Z13:Z14"/>
    <mergeCell ref="P16:P17"/>
    <mergeCell ref="Q16:Q17"/>
    <mergeCell ref="R16:R17"/>
    <mergeCell ref="S16:S17"/>
    <mergeCell ref="T16:T17"/>
    <mergeCell ref="U16:U17"/>
    <mergeCell ref="V16:V17"/>
    <mergeCell ref="O13:O14"/>
    <mergeCell ref="S13:S14"/>
    <mergeCell ref="T13:T14"/>
    <mergeCell ref="U13:U14"/>
    <mergeCell ref="V13:V14"/>
    <mergeCell ref="W13:W14"/>
    <mergeCell ref="Z11:Z12"/>
    <mergeCell ref="B285:B288"/>
    <mergeCell ref="A285:A288"/>
    <mergeCell ref="C285:C288"/>
    <mergeCell ref="D285:D288"/>
    <mergeCell ref="E285:E288"/>
    <mergeCell ref="A4:Y4"/>
    <mergeCell ref="A5:Y5"/>
    <mergeCell ref="A7:A14"/>
    <mergeCell ref="B7:B14"/>
    <mergeCell ref="C7:D12"/>
    <mergeCell ref="E7:E14"/>
    <mergeCell ref="F7:N9"/>
    <mergeCell ref="O7:O9"/>
    <mergeCell ref="P7:Y7"/>
    <mergeCell ref="P8:Y8"/>
    <mergeCell ref="Q109:Q111"/>
    <mergeCell ref="R109:R111"/>
    <mergeCell ref="S109:S111"/>
    <mergeCell ref="T109:T111"/>
    <mergeCell ref="U109:U111"/>
    <mergeCell ref="V109:V111"/>
    <mergeCell ref="W109:W111"/>
    <mergeCell ref="X109:X111"/>
    <mergeCell ref="Y109:Y111"/>
    <mergeCell ref="H12:N12"/>
    <mergeCell ref="C13:C14"/>
    <mergeCell ref="D13:D14"/>
    <mergeCell ref="H13:H14"/>
    <mergeCell ref="I13:I14"/>
    <mergeCell ref="J13:J14"/>
    <mergeCell ref="K13:K14"/>
    <mergeCell ref="L13:L14"/>
  </mergeCells>
  <pageMargins left="0.19685039370078741" right="0.11811023622047245" top="0.19685039370078741" bottom="0.15748031496062992" header="0.31496062992125984" footer="0.31496062992125984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24-26 на 31.03.24</vt:lpstr>
      <vt:lpstr>'24-26 на 31.03.24'!Область_печати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Сальникова</cp:lastModifiedBy>
  <cp:lastPrinted>2024-04-11T04:04:59Z</cp:lastPrinted>
  <dcterms:created xsi:type="dcterms:W3CDTF">2016-02-15T11:27:08Z</dcterms:created>
  <dcterms:modified xsi:type="dcterms:W3CDTF">2024-04-11T04:06:33Z</dcterms:modified>
</cp:coreProperties>
</file>